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2"/>
  <workbookPr/>
  <mc:AlternateContent xmlns:mc="http://schemas.openxmlformats.org/markup-compatibility/2006">
    <mc:Choice Requires="x15">
      <x15ac:absPath xmlns:x15ac="http://schemas.microsoft.com/office/spreadsheetml/2010/11/ac" url="/Users/abrauser/Documents/Datenpublikationen/_Metadata-Submussions/2025-025_Francesca-Innocenzi_ALEX/update2/update3/"/>
    </mc:Choice>
  </mc:AlternateContent>
  <xr:revisionPtr revIDLastSave="0" documentId="13_ncr:1_{E38D0236-A915-9E4B-A2DD-045588AFB710}" xr6:coauthVersionLast="47" xr6:coauthVersionMax="47" xr10:uidLastSave="{00000000-0000-0000-0000-000000000000}"/>
  <bookViews>
    <workbookView xWindow="0" yWindow="760" windowWidth="30240" windowHeight="17740" activeTab="2" xr2:uid="{C3FAF392-8B0C-4607-A217-174607BDC582}"/>
  </bookViews>
  <sheets>
    <sheet name="WEAR" sheetId="1" r:id="rId1"/>
    <sheet name="IAP" sheetId="2" r:id="rId2"/>
    <sheet name="APIP and GAP" sheetId="3" r:id="rId3"/>
  </sheets>
  <definedNames>
    <definedName name="_xlnm._FilterDatabase" localSheetId="1" hidden="1">IAP!$A$5:$A$130</definedName>
    <definedName name="_xlnm._FilterDatabase" localSheetId="0" hidden="1">WEAR!$DC$4:$DC$134</definedName>
    <definedName name="_Lgd11">"lgd11"</definedName>
    <definedName name="_Lgd12">"lgd11"</definedName>
    <definedName name="_Lgd13">"lgd11"</definedName>
    <definedName name="_Lgd14">"lgd11"</definedName>
    <definedName name="_Lgd19">"lgd19"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K7" i="1" l="1"/>
  <c r="S5" i="3"/>
  <c r="AF5" i="3"/>
  <c r="AG5" i="3"/>
  <c r="CX5" i="3" s="1"/>
  <c r="AH5" i="3"/>
  <c r="AI5" i="3"/>
  <c r="AJ5" i="3"/>
  <c r="AK5" i="3"/>
  <c r="AL5" i="3"/>
  <c r="AN5" i="3"/>
  <c r="AU5" i="3"/>
  <c r="AV5" i="3"/>
  <c r="CG5" i="3"/>
  <c r="DL5" i="3" s="1"/>
  <c r="CH5" i="3"/>
  <c r="CJ5" i="3"/>
  <c r="CK5" i="3"/>
  <c r="CM5" i="3"/>
  <c r="CO5" i="3"/>
  <c r="CP5" i="3"/>
  <c r="CQ5" i="3"/>
  <c r="CS5" i="3"/>
  <c r="CT5" i="3"/>
  <c r="CU5" i="3"/>
  <c r="CV5" i="3"/>
  <c r="CW5" i="3"/>
  <c r="CZ5" i="3"/>
  <c r="DA5" i="3"/>
  <c r="DB5" i="3"/>
  <c r="DC5" i="3"/>
  <c r="DD5" i="3"/>
  <c r="DE5" i="3"/>
  <c r="DF5" i="3"/>
  <c r="DG5" i="3"/>
  <c r="DH5" i="3"/>
  <c r="DI5" i="3"/>
  <c r="DJ5" i="3"/>
  <c r="DK5" i="3"/>
  <c r="DM5" i="3"/>
  <c r="DN5" i="3"/>
  <c r="DO5" i="3"/>
  <c r="DP5" i="3"/>
  <c r="DQ5" i="3"/>
  <c r="DR5" i="3"/>
  <c r="DS5" i="3"/>
  <c r="DT5" i="3"/>
  <c r="DU5" i="3"/>
  <c r="DV5" i="3"/>
  <c r="DW5" i="3"/>
  <c r="DX5" i="3"/>
  <c r="DY5" i="3"/>
  <c r="EB5" i="3"/>
  <c r="EE5" i="3"/>
  <c r="EF5" i="3"/>
  <c r="EG5" i="3"/>
  <c r="EH5" i="3"/>
  <c r="AS5" i="3"/>
  <c r="EI5" i="3"/>
  <c r="EJ5" i="3"/>
  <c r="EK5" i="3"/>
  <c r="AT5" i="3" s="1"/>
  <c r="EL5" i="3"/>
  <c r="EM5" i="3"/>
  <c r="EN5" i="3"/>
  <c r="S6" i="3"/>
  <c r="AF6" i="3"/>
  <c r="AG6" i="3"/>
  <c r="CX6" i="3" s="1"/>
  <c r="AH6" i="3"/>
  <c r="DH6" i="3" s="1"/>
  <c r="AI6" i="3"/>
  <c r="AJ6" i="3"/>
  <c r="AK6" i="3"/>
  <c r="AL6" i="3"/>
  <c r="AN6" i="3"/>
  <c r="AU6" i="3"/>
  <c r="AV6" i="3"/>
  <c r="CG6" i="3"/>
  <c r="CH6" i="3"/>
  <c r="CJ6" i="3"/>
  <c r="CK6" i="3"/>
  <c r="CM6" i="3"/>
  <c r="CO6" i="3"/>
  <c r="CP6" i="3"/>
  <c r="CQ6" i="3"/>
  <c r="CS6" i="3"/>
  <c r="CT6" i="3"/>
  <c r="CU6" i="3"/>
  <c r="CV6" i="3"/>
  <c r="CW6" i="3"/>
  <c r="CZ6" i="3"/>
  <c r="DA6" i="3"/>
  <c r="DB6" i="3"/>
  <c r="DC6" i="3"/>
  <c r="DD6" i="3"/>
  <c r="DE6" i="3"/>
  <c r="DF6" i="3"/>
  <c r="DG6" i="3"/>
  <c r="DI6" i="3"/>
  <c r="DJ6" i="3"/>
  <c r="DM6" i="3"/>
  <c r="DN6" i="3"/>
  <c r="DO6" i="3"/>
  <c r="DP6" i="3"/>
  <c r="DQ6" i="3"/>
  <c r="DR6" i="3"/>
  <c r="DS6" i="3"/>
  <c r="DT6" i="3"/>
  <c r="DU6" i="3"/>
  <c r="DV6" i="3"/>
  <c r="DW6" i="3"/>
  <c r="DX6" i="3"/>
  <c r="DY6" i="3"/>
  <c r="EB6" i="3"/>
  <c r="EE6" i="3"/>
  <c r="EO6" i="3" s="1"/>
  <c r="EF6" i="3"/>
  <c r="EG6" i="3"/>
  <c r="EH6" i="3"/>
  <c r="EI6" i="3"/>
  <c r="EJ6" i="3"/>
  <c r="EK6" i="3"/>
  <c r="AM6" i="3" s="1"/>
  <c r="DZ6" i="3"/>
  <c r="EL6" i="3"/>
  <c r="EM6" i="3"/>
  <c r="EN6" i="3"/>
  <c r="S7" i="3"/>
  <c r="AF7" i="3"/>
  <c r="AG7" i="3"/>
  <c r="AH7" i="3"/>
  <c r="DH7" i="3" s="1"/>
  <c r="AI7" i="3"/>
  <c r="AJ7" i="3"/>
  <c r="AK7" i="3"/>
  <c r="AL7" i="3"/>
  <c r="AN7" i="3"/>
  <c r="AU7" i="3"/>
  <c r="AV7" i="3"/>
  <c r="CG7" i="3"/>
  <c r="DK7" i="3" s="1"/>
  <c r="CH7" i="3"/>
  <c r="CJ7" i="3"/>
  <c r="CK7" i="3"/>
  <c r="CM7" i="3"/>
  <c r="CO7" i="3"/>
  <c r="CP7" i="3"/>
  <c r="CQ7" i="3"/>
  <c r="CS7" i="3"/>
  <c r="CT7" i="3"/>
  <c r="CV7" i="3"/>
  <c r="DA7" i="3"/>
  <c r="DE7" i="3"/>
  <c r="DF7" i="3"/>
  <c r="DG7" i="3"/>
  <c r="DJ7" i="3"/>
  <c r="DM7" i="3"/>
  <c r="DN7" i="3"/>
  <c r="DO7" i="3"/>
  <c r="DP7" i="3"/>
  <c r="DQ7" i="3"/>
  <c r="DR7" i="3"/>
  <c r="DS7" i="3"/>
  <c r="DT7" i="3"/>
  <c r="DU7" i="3"/>
  <c r="DX7" i="3"/>
  <c r="DY7" i="3"/>
  <c r="EE7" i="3"/>
  <c r="EF7" i="3"/>
  <c r="EG7" i="3"/>
  <c r="EH7" i="3"/>
  <c r="EI7" i="3"/>
  <c r="EJ7" i="3"/>
  <c r="EK7" i="3"/>
  <c r="AM7" i="3" s="1"/>
  <c r="EL7" i="3"/>
  <c r="EM7" i="3"/>
  <c r="EN7" i="3"/>
  <c r="S8" i="3"/>
  <c r="AF8" i="3"/>
  <c r="AG8" i="3"/>
  <c r="CX8" i="3" s="1"/>
  <c r="AH8" i="3"/>
  <c r="DH8" i="3" s="1"/>
  <c r="AI8" i="3"/>
  <c r="AJ8" i="3"/>
  <c r="AK8" i="3"/>
  <c r="AL8" i="3"/>
  <c r="AN8" i="3"/>
  <c r="AU8" i="3"/>
  <c r="AV8" i="3"/>
  <c r="CG8" i="3"/>
  <c r="CH8" i="3"/>
  <c r="CJ8" i="3"/>
  <c r="CK8" i="3"/>
  <c r="CM8" i="3"/>
  <c r="CO8" i="3"/>
  <c r="CP8" i="3"/>
  <c r="CQ8" i="3"/>
  <c r="CS8" i="3"/>
  <c r="CT8" i="3"/>
  <c r="CU8" i="3"/>
  <c r="CV8" i="3"/>
  <c r="CW8" i="3"/>
  <c r="CZ8" i="3"/>
  <c r="DA8" i="3"/>
  <c r="DB8" i="3"/>
  <c r="DC8" i="3"/>
  <c r="DD8" i="3"/>
  <c r="DE8" i="3"/>
  <c r="DF8" i="3"/>
  <c r="DG8" i="3"/>
  <c r="DI8" i="3"/>
  <c r="DJ8" i="3"/>
  <c r="DM8" i="3"/>
  <c r="DN8" i="3"/>
  <c r="DO8" i="3"/>
  <c r="DP8" i="3"/>
  <c r="DQ8" i="3"/>
  <c r="DR8" i="3"/>
  <c r="DS8" i="3"/>
  <c r="DT8" i="3"/>
  <c r="DU8" i="3"/>
  <c r="DV8" i="3"/>
  <c r="DW8" i="3"/>
  <c r="DX8" i="3"/>
  <c r="DY8" i="3"/>
  <c r="EB8" i="3"/>
  <c r="EE8" i="3"/>
  <c r="EF8" i="3"/>
  <c r="EG8" i="3"/>
  <c r="EH8" i="3"/>
  <c r="EI8" i="3"/>
  <c r="EJ8" i="3"/>
  <c r="EK8" i="3"/>
  <c r="AT8" i="3" s="1"/>
  <c r="EL8" i="3"/>
  <c r="EM8" i="3"/>
  <c r="EN8" i="3"/>
  <c r="S9" i="3"/>
  <c r="AF9" i="3"/>
  <c r="AG9" i="3"/>
  <c r="CX9" i="3"/>
  <c r="AH9" i="3"/>
  <c r="DH9" i="3"/>
  <c r="AI9" i="3"/>
  <c r="AJ9" i="3"/>
  <c r="AK9" i="3"/>
  <c r="AL9" i="3"/>
  <c r="AN9" i="3"/>
  <c r="AU9" i="3"/>
  <c r="AV9" i="3"/>
  <c r="CG9" i="3"/>
  <c r="DK9" i="3" s="1"/>
  <c r="CH9" i="3"/>
  <c r="CJ9" i="3"/>
  <c r="CK9" i="3"/>
  <c r="CM9" i="3"/>
  <c r="CO9" i="3"/>
  <c r="CP9" i="3"/>
  <c r="CQ9" i="3"/>
  <c r="CS9" i="3"/>
  <c r="CT9" i="3"/>
  <c r="CU9" i="3"/>
  <c r="CV9" i="3"/>
  <c r="CW9" i="3"/>
  <c r="CZ9" i="3"/>
  <c r="DA9" i="3"/>
  <c r="DB9" i="3"/>
  <c r="DC9" i="3"/>
  <c r="DD9" i="3"/>
  <c r="DE9" i="3"/>
  <c r="DF9" i="3"/>
  <c r="DG9" i="3"/>
  <c r="DI9" i="3"/>
  <c r="DJ9" i="3"/>
  <c r="DL9" i="3"/>
  <c r="DM9" i="3"/>
  <c r="DN9" i="3"/>
  <c r="DO9" i="3"/>
  <c r="DP9" i="3"/>
  <c r="DQ9" i="3"/>
  <c r="DR9" i="3"/>
  <c r="DS9" i="3"/>
  <c r="DT9" i="3"/>
  <c r="DU9" i="3"/>
  <c r="DV9" i="3"/>
  <c r="DW9" i="3"/>
  <c r="DX9" i="3"/>
  <c r="DY9" i="3"/>
  <c r="EB9" i="3"/>
  <c r="EE9" i="3"/>
  <c r="EF9" i="3"/>
  <c r="EG9" i="3"/>
  <c r="EH9" i="3"/>
  <c r="EI9" i="3"/>
  <c r="EJ9" i="3"/>
  <c r="EK9" i="3"/>
  <c r="EL9" i="3"/>
  <c r="EM9" i="3"/>
  <c r="EN9" i="3"/>
  <c r="S10" i="3"/>
  <c r="AF10" i="3"/>
  <c r="AG10" i="3"/>
  <c r="AH10" i="3"/>
  <c r="AI10" i="3"/>
  <c r="AJ10" i="3"/>
  <c r="AK10" i="3"/>
  <c r="AL10" i="3"/>
  <c r="AN10" i="3"/>
  <c r="AU10" i="3"/>
  <c r="AV10" i="3"/>
  <c r="CG10" i="3"/>
  <c r="CH10" i="3"/>
  <c r="CJ10" i="3"/>
  <c r="CK10" i="3"/>
  <c r="DL10" i="3" s="1"/>
  <c r="CM10" i="3"/>
  <c r="CO10" i="3"/>
  <c r="CP10" i="3"/>
  <c r="CQ10" i="3"/>
  <c r="CS10" i="3"/>
  <c r="CT10" i="3"/>
  <c r="CU10" i="3"/>
  <c r="CV10" i="3"/>
  <c r="CW10" i="3"/>
  <c r="CX10" i="3"/>
  <c r="DA10" i="3"/>
  <c r="DB10" i="3"/>
  <c r="DC10" i="3"/>
  <c r="DF10" i="3"/>
  <c r="DG10" i="3"/>
  <c r="DH10" i="3"/>
  <c r="DJ10" i="3"/>
  <c r="DK10" i="3"/>
  <c r="DM10" i="3"/>
  <c r="DN10" i="3"/>
  <c r="DO10" i="3"/>
  <c r="DP10" i="3"/>
  <c r="DQ10" i="3"/>
  <c r="DR10" i="3"/>
  <c r="DS10" i="3"/>
  <c r="DT10" i="3"/>
  <c r="DU10" i="3"/>
  <c r="DW10" i="3"/>
  <c r="DX10" i="3"/>
  <c r="DY10" i="3"/>
  <c r="DZ10" i="3"/>
  <c r="EB10" i="3"/>
  <c r="EE10" i="3"/>
  <c r="AS10" i="3" s="1"/>
  <c r="EF10" i="3"/>
  <c r="EG10" i="3"/>
  <c r="EH10" i="3"/>
  <c r="EI10" i="3"/>
  <c r="EJ10" i="3"/>
  <c r="EK10" i="3"/>
  <c r="AM10" i="3" s="1"/>
  <c r="EL10" i="3"/>
  <c r="EM10" i="3"/>
  <c r="EN10" i="3"/>
  <c r="S11" i="3"/>
  <c r="AF11" i="3"/>
  <c r="AG11" i="3"/>
  <c r="CX11" i="3" s="1"/>
  <c r="AH11" i="3"/>
  <c r="DH11" i="3"/>
  <c r="AI11" i="3"/>
  <c r="AJ11" i="3"/>
  <c r="AK11" i="3"/>
  <c r="AL11" i="3"/>
  <c r="AN11" i="3"/>
  <c r="AU11" i="3"/>
  <c r="AV11" i="3"/>
  <c r="CG11" i="3"/>
  <c r="CS11" i="3"/>
  <c r="CU11" i="3"/>
  <c r="CV11" i="3"/>
  <c r="CW11" i="3"/>
  <c r="CZ11" i="3"/>
  <c r="DB11" i="3"/>
  <c r="DG11" i="3"/>
  <c r="DI11" i="3"/>
  <c r="DM11" i="3"/>
  <c r="DO11" i="3"/>
  <c r="DP11" i="3"/>
  <c r="DT11" i="3"/>
  <c r="DU11" i="3"/>
  <c r="DW11" i="3"/>
  <c r="DX11" i="3"/>
  <c r="DY11" i="3"/>
  <c r="EE11" i="3"/>
  <c r="EF11" i="3"/>
  <c r="EG11" i="3"/>
  <c r="EH11" i="3"/>
  <c r="EI11" i="3"/>
  <c r="EJ11" i="3"/>
  <c r="EK11" i="3"/>
  <c r="EL11" i="3"/>
  <c r="AO11" i="3" s="1"/>
  <c r="AP11" i="3" s="1"/>
  <c r="EM11" i="3"/>
  <c r="EN11" i="3"/>
  <c r="S12" i="3"/>
  <c r="AF12" i="3"/>
  <c r="AG12" i="3"/>
  <c r="CX12" i="3" s="1"/>
  <c r="AH12" i="3"/>
  <c r="DH12" i="3" s="1"/>
  <c r="AI12" i="3"/>
  <c r="AJ12" i="3"/>
  <c r="AK12" i="3"/>
  <c r="AL12" i="3"/>
  <c r="AM12" i="3"/>
  <c r="AN12" i="3"/>
  <c r="AR12" i="3"/>
  <c r="AU12" i="3"/>
  <c r="AV12" i="3"/>
  <c r="CG12" i="3"/>
  <c r="CH12" i="3"/>
  <c r="CJ12" i="3"/>
  <c r="CK12" i="3"/>
  <c r="CM12" i="3"/>
  <c r="CO12" i="3"/>
  <c r="CP12" i="3"/>
  <c r="CQ12" i="3"/>
  <c r="CS12" i="3"/>
  <c r="CT12" i="3"/>
  <c r="CU12" i="3"/>
  <c r="CV12" i="3"/>
  <c r="CW12" i="3"/>
  <c r="DA12" i="3"/>
  <c r="DB12" i="3"/>
  <c r="DG12" i="3"/>
  <c r="DJ12" i="3"/>
  <c r="DM12" i="3"/>
  <c r="DN12" i="3"/>
  <c r="DO12" i="3"/>
  <c r="DP12" i="3"/>
  <c r="DQ12" i="3"/>
  <c r="DR12" i="3"/>
  <c r="DS12" i="3"/>
  <c r="DT12" i="3"/>
  <c r="DU12" i="3"/>
  <c r="DW12" i="3"/>
  <c r="DX12" i="3"/>
  <c r="DY12" i="3"/>
  <c r="DZ12" i="3"/>
  <c r="EE12" i="3"/>
  <c r="AS12" i="3" s="1"/>
  <c r="EF12" i="3"/>
  <c r="EG12" i="3"/>
  <c r="AQ12" i="3" s="1"/>
  <c r="EH12" i="3"/>
  <c r="EI12" i="3"/>
  <c r="EJ12" i="3"/>
  <c r="EK12" i="3"/>
  <c r="AT12" i="3" s="1"/>
  <c r="EL12" i="3"/>
  <c r="AO12" i="3"/>
  <c r="AP12" i="3" s="1"/>
  <c r="EM12" i="3"/>
  <c r="EN12" i="3"/>
  <c r="S13" i="3"/>
  <c r="AF13" i="3"/>
  <c r="AG13" i="3"/>
  <c r="CX13" i="3"/>
  <c r="AH13" i="3"/>
  <c r="AI13" i="3"/>
  <c r="AJ13" i="3"/>
  <c r="AK13" i="3"/>
  <c r="AL13" i="3"/>
  <c r="AN13" i="3"/>
  <c r="AU13" i="3"/>
  <c r="AV13" i="3"/>
  <c r="CG13" i="3"/>
  <c r="DL13" i="3" s="1"/>
  <c r="CH13" i="3"/>
  <c r="CJ13" i="3"/>
  <c r="CK13" i="3"/>
  <c r="CM13" i="3"/>
  <c r="CO13" i="3"/>
  <c r="CP13" i="3"/>
  <c r="CQ13" i="3"/>
  <c r="CS13" i="3"/>
  <c r="CT13" i="3"/>
  <c r="CU13" i="3"/>
  <c r="CV13" i="3"/>
  <c r="CW13" i="3"/>
  <c r="CZ13" i="3"/>
  <c r="DA13" i="3"/>
  <c r="DB13" i="3"/>
  <c r="DC13" i="3"/>
  <c r="DD13" i="3"/>
  <c r="DE13" i="3"/>
  <c r="DF13" i="3"/>
  <c r="DG13" i="3"/>
  <c r="DH13" i="3"/>
  <c r="DI13" i="3"/>
  <c r="DJ13" i="3"/>
  <c r="DM13" i="3"/>
  <c r="DN13" i="3"/>
  <c r="DO13" i="3"/>
  <c r="DP13" i="3"/>
  <c r="DQ13" i="3"/>
  <c r="DR13" i="3"/>
  <c r="DS13" i="3"/>
  <c r="DT13" i="3"/>
  <c r="DU13" i="3"/>
  <c r="DV13" i="3"/>
  <c r="DW13" i="3"/>
  <c r="DX13" i="3"/>
  <c r="DY13" i="3"/>
  <c r="EB13" i="3"/>
  <c r="EE13" i="3"/>
  <c r="EF13" i="3"/>
  <c r="EG13" i="3"/>
  <c r="EH13" i="3"/>
  <c r="EI13" i="3"/>
  <c r="EJ13" i="3"/>
  <c r="EK13" i="3"/>
  <c r="EL13" i="3"/>
  <c r="EM13" i="3"/>
  <c r="EN13" i="3"/>
  <c r="S14" i="3"/>
  <c r="AF14" i="3"/>
  <c r="AG14" i="3"/>
  <c r="CX14" i="3" s="1"/>
  <c r="AH14" i="3"/>
  <c r="DH14" i="3"/>
  <c r="AI14" i="3"/>
  <c r="AJ14" i="3"/>
  <c r="AK14" i="3"/>
  <c r="AL14" i="3"/>
  <c r="AN14" i="3"/>
  <c r="AR14" i="3"/>
  <c r="AU14" i="3"/>
  <c r="AV14" i="3"/>
  <c r="CG14" i="3"/>
  <c r="DK14" i="3" s="1"/>
  <c r="CH14" i="3"/>
  <c r="CJ14" i="3"/>
  <c r="CK14" i="3"/>
  <c r="CM14" i="3"/>
  <c r="CO14" i="3"/>
  <c r="CP14" i="3"/>
  <c r="CQ14" i="3"/>
  <c r="CS14" i="3"/>
  <c r="CT14" i="3"/>
  <c r="CU14" i="3"/>
  <c r="CV14" i="3"/>
  <c r="CW14" i="3"/>
  <c r="DA14" i="3"/>
  <c r="DB14" i="3"/>
  <c r="DG14" i="3"/>
  <c r="DJ14" i="3"/>
  <c r="DM14" i="3"/>
  <c r="DN14" i="3"/>
  <c r="DO14" i="3"/>
  <c r="DP14" i="3"/>
  <c r="DQ14" i="3"/>
  <c r="DR14" i="3"/>
  <c r="DS14" i="3"/>
  <c r="DT14" i="3"/>
  <c r="DU14" i="3"/>
  <c r="DW14" i="3"/>
  <c r="DX14" i="3"/>
  <c r="DY14" i="3"/>
  <c r="EB14" i="3"/>
  <c r="EE14" i="3"/>
  <c r="EF14" i="3"/>
  <c r="EG14" i="3"/>
  <c r="EH14" i="3"/>
  <c r="EI14" i="3"/>
  <c r="EJ14" i="3"/>
  <c r="EK14" i="3"/>
  <c r="AM14" i="3" s="1"/>
  <c r="EL14" i="3"/>
  <c r="AO14" i="3" s="1"/>
  <c r="AP14" i="3" s="1"/>
  <c r="EM14" i="3"/>
  <c r="EN14" i="3"/>
  <c r="S15" i="3"/>
  <c r="AF15" i="3"/>
  <c r="AG15" i="3"/>
  <c r="CX15" i="3"/>
  <c r="AH15" i="3"/>
  <c r="AI15" i="3"/>
  <c r="AJ15" i="3"/>
  <c r="AK15" i="3"/>
  <c r="AL15" i="3"/>
  <c r="AN15" i="3"/>
  <c r="AU15" i="3"/>
  <c r="AV15" i="3"/>
  <c r="CG15" i="3"/>
  <c r="DL15" i="3" s="1"/>
  <c r="CH15" i="3"/>
  <c r="CJ15" i="3"/>
  <c r="CK15" i="3"/>
  <c r="CM15" i="3"/>
  <c r="CO15" i="3"/>
  <c r="CP15" i="3"/>
  <c r="CQ15" i="3"/>
  <c r="CS15" i="3"/>
  <c r="CT15" i="3"/>
  <c r="CU15" i="3"/>
  <c r="CV15" i="3"/>
  <c r="CW15" i="3"/>
  <c r="DA15" i="3"/>
  <c r="DB15" i="3"/>
  <c r="DC15" i="3"/>
  <c r="DF15" i="3"/>
  <c r="DG15" i="3"/>
  <c r="DH15" i="3"/>
  <c r="DJ15" i="3"/>
  <c r="DM15" i="3"/>
  <c r="DN15" i="3"/>
  <c r="DO15" i="3"/>
  <c r="DP15" i="3"/>
  <c r="DQ15" i="3"/>
  <c r="DR15" i="3"/>
  <c r="DS15" i="3"/>
  <c r="DT15" i="3"/>
  <c r="DU15" i="3"/>
  <c r="DW15" i="3"/>
  <c r="DX15" i="3"/>
  <c r="DY15" i="3"/>
  <c r="EB15" i="3"/>
  <c r="EE15" i="3"/>
  <c r="AS15" i="3" s="1"/>
  <c r="EF15" i="3"/>
  <c r="EG15" i="3"/>
  <c r="EH15" i="3"/>
  <c r="EI15" i="3"/>
  <c r="EJ15" i="3"/>
  <c r="EK15" i="3"/>
  <c r="EL15" i="3"/>
  <c r="AO15" i="3" s="1"/>
  <c r="AP15" i="3" s="1"/>
  <c r="EM15" i="3"/>
  <c r="EN15" i="3"/>
  <c r="S16" i="3"/>
  <c r="AF16" i="3"/>
  <c r="AG16" i="3"/>
  <c r="AH16" i="3"/>
  <c r="DH16" i="3" s="1"/>
  <c r="AI16" i="3"/>
  <c r="AJ16" i="3"/>
  <c r="AK16" i="3"/>
  <c r="AL16" i="3"/>
  <c r="AN16" i="3"/>
  <c r="AU16" i="3"/>
  <c r="AV16" i="3"/>
  <c r="CG16" i="3"/>
  <c r="DL16" i="3" s="1"/>
  <c r="CH16" i="3"/>
  <c r="CJ16" i="3"/>
  <c r="CK16" i="3"/>
  <c r="CM16" i="3"/>
  <c r="CO16" i="3"/>
  <c r="CP16" i="3"/>
  <c r="CQ16" i="3"/>
  <c r="CS16" i="3"/>
  <c r="CT16" i="3"/>
  <c r="CU16" i="3"/>
  <c r="CV16" i="3"/>
  <c r="CW16" i="3"/>
  <c r="CX16" i="3"/>
  <c r="DA16" i="3"/>
  <c r="DB16" i="3"/>
  <c r="DG16" i="3"/>
  <c r="DJ16" i="3"/>
  <c r="DM16" i="3"/>
  <c r="DN16" i="3"/>
  <c r="DO16" i="3"/>
  <c r="DP16" i="3"/>
  <c r="DQ16" i="3"/>
  <c r="DR16" i="3"/>
  <c r="DS16" i="3"/>
  <c r="DT16" i="3"/>
  <c r="DU16" i="3"/>
  <c r="DW16" i="3"/>
  <c r="DX16" i="3"/>
  <c r="DY16" i="3"/>
  <c r="DZ16" i="3"/>
  <c r="EE16" i="3"/>
  <c r="EF16" i="3"/>
  <c r="EG16" i="3"/>
  <c r="EH16" i="3"/>
  <c r="EI16" i="3"/>
  <c r="EJ16" i="3"/>
  <c r="EK16" i="3"/>
  <c r="EL16" i="3"/>
  <c r="AO16" i="3" s="1"/>
  <c r="AP16" i="3" s="1"/>
  <c r="EM16" i="3"/>
  <c r="EN16" i="3"/>
  <c r="S17" i="3"/>
  <c r="AF17" i="3"/>
  <c r="AG17" i="3"/>
  <c r="CX17" i="3" s="1"/>
  <c r="AH17" i="3"/>
  <c r="AI17" i="3"/>
  <c r="AJ17" i="3"/>
  <c r="AK17" i="3"/>
  <c r="AL17" i="3"/>
  <c r="AN17" i="3"/>
  <c r="AU17" i="3"/>
  <c r="AV17" i="3"/>
  <c r="CG17" i="3"/>
  <c r="CH17" i="3"/>
  <c r="CJ17" i="3"/>
  <c r="CK17" i="3"/>
  <c r="DL17" i="3" s="1"/>
  <c r="CM17" i="3"/>
  <c r="CO17" i="3"/>
  <c r="CP17" i="3"/>
  <c r="CQ17" i="3"/>
  <c r="CS17" i="3"/>
  <c r="CT17" i="3"/>
  <c r="CU17" i="3"/>
  <c r="CV17" i="3"/>
  <c r="CW17" i="3"/>
  <c r="CZ17" i="3"/>
  <c r="DA17" i="3"/>
  <c r="DB17" i="3"/>
  <c r="DC17" i="3"/>
  <c r="DD17" i="3"/>
  <c r="DE17" i="3"/>
  <c r="DF17" i="3"/>
  <c r="DG17" i="3"/>
  <c r="DH17" i="3"/>
  <c r="DI17" i="3"/>
  <c r="DJ17" i="3"/>
  <c r="DK17" i="3"/>
  <c r="DM17" i="3"/>
  <c r="DN17" i="3"/>
  <c r="DO17" i="3"/>
  <c r="DP17" i="3"/>
  <c r="DQ17" i="3"/>
  <c r="DR17" i="3"/>
  <c r="DS17" i="3"/>
  <c r="DT17" i="3"/>
  <c r="DU17" i="3"/>
  <c r="DV17" i="3"/>
  <c r="DW17" i="3"/>
  <c r="DX17" i="3"/>
  <c r="DY17" i="3"/>
  <c r="DZ17" i="3"/>
  <c r="EB17" i="3"/>
  <c r="EE17" i="3"/>
  <c r="EF17" i="3"/>
  <c r="EG17" i="3"/>
  <c r="AO17" i="3" s="1"/>
  <c r="AP17" i="3" s="1"/>
  <c r="EH17" i="3"/>
  <c r="EI17" i="3"/>
  <c r="EJ17" i="3"/>
  <c r="EK17" i="3"/>
  <c r="EL17" i="3"/>
  <c r="EM17" i="3"/>
  <c r="EN17" i="3"/>
  <c r="S18" i="3"/>
  <c r="AF18" i="3"/>
  <c r="AG18" i="3"/>
  <c r="CX18" i="3" s="1"/>
  <c r="AH18" i="3"/>
  <c r="DH18" i="3"/>
  <c r="AI18" i="3"/>
  <c r="AJ18" i="3"/>
  <c r="AK18" i="3"/>
  <c r="AL18" i="3"/>
  <c r="AN18" i="3"/>
  <c r="AU18" i="3"/>
  <c r="AV18" i="3"/>
  <c r="CG18" i="3"/>
  <c r="CH18" i="3"/>
  <c r="CS18" i="3"/>
  <c r="CT18" i="3"/>
  <c r="CU18" i="3"/>
  <c r="CV18" i="3"/>
  <c r="CW18" i="3"/>
  <c r="CZ18" i="3"/>
  <c r="DB18" i="3"/>
  <c r="DG18" i="3"/>
  <c r="DI18" i="3"/>
  <c r="DM18" i="3"/>
  <c r="DO18" i="3"/>
  <c r="DP18" i="3"/>
  <c r="DT18" i="3"/>
  <c r="DU18" i="3"/>
  <c r="DW18" i="3"/>
  <c r="DX18" i="3"/>
  <c r="DY18" i="3"/>
  <c r="EE18" i="3"/>
  <c r="AS18" i="3" s="1"/>
  <c r="EF18" i="3"/>
  <c r="EG18" i="3"/>
  <c r="EH18" i="3"/>
  <c r="EI18" i="3"/>
  <c r="EJ18" i="3"/>
  <c r="EK18" i="3"/>
  <c r="EL18" i="3"/>
  <c r="AR18" i="3" s="1"/>
  <c r="EM18" i="3"/>
  <c r="EN18" i="3"/>
  <c r="S19" i="3"/>
  <c r="AF19" i="3"/>
  <c r="AG19" i="3"/>
  <c r="CX19" i="3" s="1"/>
  <c r="AH19" i="3"/>
  <c r="DH19" i="3" s="1"/>
  <c r="AI19" i="3"/>
  <c r="AJ19" i="3"/>
  <c r="AK19" i="3"/>
  <c r="AL19" i="3"/>
  <c r="AN19" i="3"/>
  <c r="AU19" i="3"/>
  <c r="AV19" i="3"/>
  <c r="CG19" i="3"/>
  <c r="CH19" i="3"/>
  <c r="CI19" i="3"/>
  <c r="CJ19" i="3"/>
  <c r="CK19" i="3"/>
  <c r="CM19" i="3"/>
  <c r="CN19" i="3"/>
  <c r="CO19" i="3"/>
  <c r="CP19" i="3"/>
  <c r="CQ19" i="3"/>
  <c r="CR19" i="3"/>
  <c r="CS19" i="3"/>
  <c r="CT19" i="3"/>
  <c r="CU19" i="3"/>
  <c r="CV19" i="3"/>
  <c r="CW19" i="3"/>
  <c r="DB19" i="3"/>
  <c r="DC19" i="3"/>
  <c r="DG19" i="3"/>
  <c r="DM19" i="3"/>
  <c r="DN19" i="3"/>
  <c r="DO19" i="3"/>
  <c r="DP19" i="3"/>
  <c r="DT19" i="3"/>
  <c r="DU19" i="3"/>
  <c r="DW19" i="3"/>
  <c r="DX19" i="3"/>
  <c r="DY19" i="3"/>
  <c r="EB19" i="3"/>
  <c r="EE19" i="3"/>
  <c r="EF19" i="3"/>
  <c r="EG19" i="3"/>
  <c r="EH19" i="3"/>
  <c r="EI19" i="3"/>
  <c r="EJ19" i="3"/>
  <c r="EK19" i="3"/>
  <c r="AT19" i="3" s="1"/>
  <c r="AM19" i="3"/>
  <c r="EL19" i="3"/>
  <c r="EM19" i="3"/>
  <c r="EN19" i="3"/>
  <c r="S20" i="3"/>
  <c r="AF20" i="3"/>
  <c r="AG20" i="3"/>
  <c r="CX20" i="3" s="1"/>
  <c r="AH20" i="3"/>
  <c r="DH20" i="3" s="1"/>
  <c r="AI20" i="3"/>
  <c r="AJ20" i="3"/>
  <c r="AK20" i="3"/>
  <c r="AL20" i="3"/>
  <c r="AN20" i="3"/>
  <c r="AU20" i="3"/>
  <c r="AV20" i="3"/>
  <c r="CG20" i="3"/>
  <c r="CH20" i="3"/>
  <c r="CI20" i="3"/>
  <c r="CJ20" i="3"/>
  <c r="CK20" i="3"/>
  <c r="CM20" i="3"/>
  <c r="CN20" i="3"/>
  <c r="CO20" i="3"/>
  <c r="CP20" i="3"/>
  <c r="CQ20" i="3"/>
  <c r="CR20" i="3"/>
  <c r="CS20" i="3"/>
  <c r="CT20" i="3"/>
  <c r="CU20" i="3"/>
  <c r="CV20" i="3"/>
  <c r="CW20" i="3"/>
  <c r="DB20" i="3"/>
  <c r="DC20" i="3"/>
  <c r="DG20" i="3"/>
  <c r="DM20" i="3"/>
  <c r="DN20" i="3"/>
  <c r="DO20" i="3"/>
  <c r="DU20" i="3"/>
  <c r="DW20" i="3"/>
  <c r="DX20" i="3"/>
  <c r="DY20" i="3"/>
  <c r="EB20" i="3"/>
  <c r="EE20" i="3"/>
  <c r="AS20" i="3" s="1"/>
  <c r="EF20" i="3"/>
  <c r="EG20" i="3"/>
  <c r="EH20" i="3"/>
  <c r="EI20" i="3"/>
  <c r="EJ20" i="3"/>
  <c r="EK20" i="3"/>
  <c r="AM20" i="3" s="1"/>
  <c r="EL20" i="3"/>
  <c r="AO20" i="3" s="1"/>
  <c r="AP20" i="3" s="1"/>
  <c r="EM20" i="3"/>
  <c r="EN20" i="3"/>
  <c r="S21" i="3"/>
  <c r="AF21" i="3"/>
  <c r="AG21" i="3"/>
  <c r="CX21" i="3" s="1"/>
  <c r="AH21" i="3"/>
  <c r="DH21" i="3" s="1"/>
  <c r="AI21" i="3"/>
  <c r="AJ21" i="3"/>
  <c r="AK21" i="3"/>
  <c r="AL21" i="3"/>
  <c r="AN21" i="3"/>
  <c r="AU21" i="3"/>
  <c r="AV21" i="3"/>
  <c r="CG21" i="3"/>
  <c r="CH21" i="3"/>
  <c r="CI21" i="3"/>
  <c r="CJ21" i="3"/>
  <c r="CK21" i="3"/>
  <c r="CM21" i="3"/>
  <c r="CN21" i="3"/>
  <c r="CO21" i="3"/>
  <c r="CP21" i="3"/>
  <c r="CQ21" i="3"/>
  <c r="CR21" i="3"/>
  <c r="CS21" i="3"/>
  <c r="CT21" i="3"/>
  <c r="CU21" i="3"/>
  <c r="CV21" i="3"/>
  <c r="CW21" i="3"/>
  <c r="DB21" i="3"/>
  <c r="DC21" i="3"/>
  <c r="DG21" i="3"/>
  <c r="DM21" i="3"/>
  <c r="DN21" i="3"/>
  <c r="DO21" i="3"/>
  <c r="DU21" i="3"/>
  <c r="DW21" i="3"/>
  <c r="DX21" i="3"/>
  <c r="DY21" i="3"/>
  <c r="EB21" i="3"/>
  <c r="EE21" i="3"/>
  <c r="EF21" i="3"/>
  <c r="EG21" i="3"/>
  <c r="EH21" i="3"/>
  <c r="EI21" i="3"/>
  <c r="EJ21" i="3"/>
  <c r="EK21" i="3"/>
  <c r="EL21" i="3"/>
  <c r="EM21" i="3"/>
  <c r="EN21" i="3"/>
  <c r="S22" i="3"/>
  <c r="AF22" i="3"/>
  <c r="AG22" i="3"/>
  <c r="CX22" i="3" s="1"/>
  <c r="AH22" i="3"/>
  <c r="AI22" i="3"/>
  <c r="AJ22" i="3"/>
  <c r="AK22" i="3"/>
  <c r="AL22" i="3"/>
  <c r="AN22" i="3"/>
  <c r="AU22" i="3"/>
  <c r="AV22" i="3"/>
  <c r="CG22" i="3"/>
  <c r="CH22" i="3"/>
  <c r="CI22" i="3"/>
  <c r="CJ22" i="3"/>
  <c r="CK22" i="3"/>
  <c r="CM22" i="3"/>
  <c r="CN22" i="3"/>
  <c r="CO22" i="3"/>
  <c r="CP22" i="3"/>
  <c r="CQ22" i="3"/>
  <c r="CR22" i="3"/>
  <c r="CS22" i="3"/>
  <c r="CT22" i="3"/>
  <c r="CU22" i="3"/>
  <c r="CV22" i="3"/>
  <c r="CW22" i="3"/>
  <c r="DB22" i="3"/>
  <c r="DC22" i="3"/>
  <c r="DG22" i="3"/>
  <c r="DH22" i="3"/>
  <c r="DM22" i="3"/>
  <c r="DN22" i="3"/>
  <c r="DO22" i="3"/>
  <c r="DU22" i="3"/>
  <c r="DW22" i="3"/>
  <c r="DX22" i="3"/>
  <c r="DY22" i="3"/>
  <c r="EB22" i="3"/>
  <c r="EE22" i="3"/>
  <c r="EF22" i="3"/>
  <c r="EG22" i="3"/>
  <c r="EH22" i="3"/>
  <c r="EI22" i="3"/>
  <c r="EJ22" i="3"/>
  <c r="EK22" i="3"/>
  <c r="AM22" i="3"/>
  <c r="EL22" i="3"/>
  <c r="EM22" i="3"/>
  <c r="EN22" i="3"/>
  <c r="S23" i="3"/>
  <c r="AF23" i="3"/>
  <c r="AG23" i="3"/>
  <c r="AH23" i="3"/>
  <c r="AI23" i="3"/>
  <c r="AJ23" i="3"/>
  <c r="AK23" i="3"/>
  <c r="AL23" i="3"/>
  <c r="AN23" i="3"/>
  <c r="AU23" i="3"/>
  <c r="AV23" i="3"/>
  <c r="CG23" i="3"/>
  <c r="CH23" i="3"/>
  <c r="CI23" i="3"/>
  <c r="CJ23" i="3"/>
  <c r="CK23" i="3"/>
  <c r="CM23" i="3"/>
  <c r="CN23" i="3"/>
  <c r="CO23" i="3"/>
  <c r="CP23" i="3"/>
  <c r="CQ23" i="3"/>
  <c r="CR23" i="3"/>
  <c r="CS23" i="3"/>
  <c r="CT23" i="3"/>
  <c r="CU23" i="3"/>
  <c r="CV23" i="3"/>
  <c r="CW23" i="3"/>
  <c r="CX23" i="3"/>
  <c r="DB23" i="3"/>
  <c r="DC23" i="3"/>
  <c r="DG23" i="3"/>
  <c r="DH23" i="3"/>
  <c r="DM23" i="3"/>
  <c r="DN23" i="3"/>
  <c r="DO23" i="3"/>
  <c r="DU23" i="3"/>
  <c r="DW23" i="3"/>
  <c r="DX23" i="3"/>
  <c r="DY23" i="3"/>
  <c r="EB23" i="3"/>
  <c r="EE23" i="3"/>
  <c r="EF23" i="3"/>
  <c r="EG23" i="3"/>
  <c r="AQ23" i="3" s="1"/>
  <c r="EH23" i="3"/>
  <c r="EI23" i="3"/>
  <c r="EJ23" i="3"/>
  <c r="AT23" i="3" s="1"/>
  <c r="EK23" i="3"/>
  <c r="AM23" i="3" s="1"/>
  <c r="EL23" i="3"/>
  <c r="AR23" i="3" s="1"/>
  <c r="EM23" i="3"/>
  <c r="EN23" i="3"/>
  <c r="S24" i="3"/>
  <c r="AF24" i="3"/>
  <c r="AG24" i="3"/>
  <c r="CX24" i="3" s="1"/>
  <c r="AH24" i="3"/>
  <c r="DH24" i="3"/>
  <c r="AI24" i="3"/>
  <c r="AJ24" i="3"/>
  <c r="AK24" i="3"/>
  <c r="AL24" i="3"/>
  <c r="AN24" i="3"/>
  <c r="AU24" i="3"/>
  <c r="AV24" i="3"/>
  <c r="CG24" i="3"/>
  <c r="CH24" i="3"/>
  <c r="CI24" i="3"/>
  <c r="CJ24" i="3"/>
  <c r="CK24" i="3"/>
  <c r="CM24" i="3"/>
  <c r="CN24" i="3"/>
  <c r="CO24" i="3"/>
  <c r="CP24" i="3"/>
  <c r="CQ24" i="3"/>
  <c r="CR24" i="3"/>
  <c r="CS24" i="3"/>
  <c r="CT24" i="3"/>
  <c r="CU24" i="3"/>
  <c r="CV24" i="3"/>
  <c r="CW24" i="3"/>
  <c r="DB24" i="3"/>
  <c r="DC24" i="3"/>
  <c r="DG24" i="3"/>
  <c r="DU24" i="3"/>
  <c r="DW24" i="3"/>
  <c r="DX24" i="3"/>
  <c r="DY24" i="3"/>
  <c r="EB24" i="3"/>
  <c r="EE24" i="3"/>
  <c r="EF24" i="3"/>
  <c r="EO24" i="3" s="1"/>
  <c r="EG24" i="3"/>
  <c r="EH24" i="3"/>
  <c r="EI24" i="3"/>
  <c r="EJ24" i="3"/>
  <c r="EK24" i="3"/>
  <c r="EL24" i="3"/>
  <c r="EM24" i="3"/>
  <c r="EN24" i="3"/>
  <c r="S25" i="3"/>
  <c r="AF25" i="3"/>
  <c r="AG25" i="3"/>
  <c r="AH25" i="3"/>
  <c r="DH25" i="3"/>
  <c r="AI25" i="3"/>
  <c r="AJ25" i="3"/>
  <c r="AK25" i="3"/>
  <c r="AL25" i="3"/>
  <c r="AN25" i="3"/>
  <c r="AU25" i="3"/>
  <c r="AV25" i="3"/>
  <c r="CG25" i="3"/>
  <c r="CH25" i="3"/>
  <c r="CI25" i="3"/>
  <c r="CJ25" i="3"/>
  <c r="CK25" i="3"/>
  <c r="CM25" i="3"/>
  <c r="CN25" i="3"/>
  <c r="CO25" i="3"/>
  <c r="CP25" i="3"/>
  <c r="CQ25" i="3"/>
  <c r="CR25" i="3"/>
  <c r="CS25" i="3"/>
  <c r="CT25" i="3"/>
  <c r="CU25" i="3"/>
  <c r="CV25" i="3"/>
  <c r="CW25" i="3"/>
  <c r="CX25" i="3"/>
  <c r="DB25" i="3"/>
  <c r="DC25" i="3"/>
  <c r="DG25" i="3"/>
  <c r="DU25" i="3"/>
  <c r="DW25" i="3"/>
  <c r="DX25" i="3"/>
  <c r="DY25" i="3"/>
  <c r="EB25" i="3"/>
  <c r="EE25" i="3"/>
  <c r="EF25" i="3"/>
  <c r="EG25" i="3"/>
  <c r="EH25" i="3"/>
  <c r="EI25" i="3"/>
  <c r="EJ25" i="3"/>
  <c r="EK25" i="3"/>
  <c r="EL25" i="3"/>
  <c r="EM25" i="3"/>
  <c r="EN25" i="3"/>
  <c r="S26" i="3"/>
  <c r="AF26" i="3"/>
  <c r="AG26" i="3"/>
  <c r="CX26" i="3" s="1"/>
  <c r="AH26" i="3"/>
  <c r="DH26" i="3" s="1"/>
  <c r="AI26" i="3"/>
  <c r="AJ26" i="3"/>
  <c r="AK26" i="3"/>
  <c r="AL26" i="3"/>
  <c r="AN26" i="3"/>
  <c r="AU26" i="3"/>
  <c r="AV26" i="3"/>
  <c r="CG26" i="3"/>
  <c r="CH26" i="3"/>
  <c r="CI26" i="3"/>
  <c r="CJ26" i="3"/>
  <c r="CK26" i="3"/>
  <c r="CM26" i="3"/>
  <c r="CN26" i="3"/>
  <c r="CO26" i="3"/>
  <c r="CP26" i="3"/>
  <c r="CQ26" i="3"/>
  <c r="CR26" i="3"/>
  <c r="CS26" i="3"/>
  <c r="CT26" i="3"/>
  <c r="CU26" i="3"/>
  <c r="CV26" i="3"/>
  <c r="CW26" i="3"/>
  <c r="DB26" i="3"/>
  <c r="DC26" i="3"/>
  <c r="DG26" i="3"/>
  <c r="DU26" i="3"/>
  <c r="DW26" i="3"/>
  <c r="DX26" i="3"/>
  <c r="DY26" i="3"/>
  <c r="EB26" i="3"/>
  <c r="EE26" i="3"/>
  <c r="AS26" i="3" s="1"/>
  <c r="EF26" i="3"/>
  <c r="EG26" i="3"/>
  <c r="EH26" i="3"/>
  <c r="EI26" i="3"/>
  <c r="EJ26" i="3"/>
  <c r="EK26" i="3"/>
  <c r="EL26" i="3"/>
  <c r="EM26" i="3"/>
  <c r="AR26" i="3" s="1"/>
  <c r="EN26" i="3"/>
  <c r="S27" i="3"/>
  <c r="AF27" i="3"/>
  <c r="AG27" i="3"/>
  <c r="CX27" i="3" s="1"/>
  <c r="AH27" i="3"/>
  <c r="AI27" i="3"/>
  <c r="AJ27" i="3"/>
  <c r="AK27" i="3"/>
  <c r="AL27" i="3"/>
  <c r="AN27" i="3"/>
  <c r="AU27" i="3"/>
  <c r="AV27" i="3"/>
  <c r="CG27" i="3"/>
  <c r="CH27" i="3"/>
  <c r="CI27" i="3"/>
  <c r="CJ27" i="3"/>
  <c r="CK27" i="3"/>
  <c r="CM27" i="3"/>
  <c r="CN27" i="3"/>
  <c r="CO27" i="3"/>
  <c r="CP27" i="3"/>
  <c r="CQ27" i="3"/>
  <c r="CR27" i="3"/>
  <c r="CS27" i="3"/>
  <c r="CT27" i="3"/>
  <c r="CU27" i="3"/>
  <c r="CV27" i="3"/>
  <c r="CW27" i="3"/>
  <c r="DB27" i="3"/>
  <c r="DC27" i="3"/>
  <c r="DG27" i="3"/>
  <c r="DH27" i="3"/>
  <c r="DU27" i="3"/>
  <c r="DW27" i="3"/>
  <c r="DX27" i="3"/>
  <c r="DY27" i="3"/>
  <c r="EB27" i="3"/>
  <c r="EE27" i="3"/>
  <c r="AS27" i="3" s="1"/>
  <c r="EF27" i="3"/>
  <c r="EG27" i="3"/>
  <c r="AQ27" i="3" s="1"/>
  <c r="EH27" i="3"/>
  <c r="EI27" i="3"/>
  <c r="EJ27" i="3"/>
  <c r="EK27" i="3"/>
  <c r="AM27" i="3" s="1"/>
  <c r="EL27" i="3"/>
  <c r="EM27" i="3"/>
  <c r="EN27" i="3"/>
  <c r="S28" i="3"/>
  <c r="AF28" i="3"/>
  <c r="AG28" i="3"/>
  <c r="AH28" i="3"/>
  <c r="AI28" i="3"/>
  <c r="AJ28" i="3"/>
  <c r="AK28" i="3"/>
  <c r="AL28" i="3"/>
  <c r="AN28" i="3"/>
  <c r="AU28" i="3"/>
  <c r="AV28" i="3"/>
  <c r="CG28" i="3"/>
  <c r="CH28" i="3"/>
  <c r="CI28" i="3"/>
  <c r="CJ28" i="3"/>
  <c r="CK28" i="3"/>
  <c r="CM28" i="3"/>
  <c r="CN28" i="3"/>
  <c r="CO28" i="3"/>
  <c r="CP28" i="3"/>
  <c r="CQ28" i="3"/>
  <c r="CR28" i="3"/>
  <c r="CS28" i="3"/>
  <c r="CT28" i="3"/>
  <c r="CU28" i="3"/>
  <c r="CV28" i="3"/>
  <c r="CW28" i="3"/>
  <c r="CX28" i="3"/>
  <c r="DB28" i="3"/>
  <c r="DC28" i="3"/>
  <c r="DG28" i="3"/>
  <c r="DH28" i="3"/>
  <c r="DU28" i="3"/>
  <c r="DW28" i="3"/>
  <c r="DX28" i="3"/>
  <c r="DY28" i="3"/>
  <c r="EB28" i="3"/>
  <c r="EE28" i="3"/>
  <c r="AS28" i="3" s="1"/>
  <c r="EF28" i="3"/>
  <c r="EG28" i="3"/>
  <c r="EH28" i="3"/>
  <c r="EI28" i="3"/>
  <c r="EJ28" i="3"/>
  <c r="EK28" i="3"/>
  <c r="AQ28" i="3" s="1"/>
  <c r="EL28" i="3"/>
  <c r="EM28" i="3"/>
  <c r="EN28" i="3"/>
  <c r="S29" i="3"/>
  <c r="AF29" i="3"/>
  <c r="AG29" i="3"/>
  <c r="CX29" i="3" s="1"/>
  <c r="AH29" i="3"/>
  <c r="DH29" i="3" s="1"/>
  <c r="AI29" i="3"/>
  <c r="AJ29" i="3"/>
  <c r="AK29" i="3"/>
  <c r="AL29" i="3"/>
  <c r="AN29" i="3"/>
  <c r="AU29" i="3"/>
  <c r="AV29" i="3"/>
  <c r="CG29" i="3"/>
  <c r="CH29" i="3"/>
  <c r="CI29" i="3"/>
  <c r="CJ29" i="3"/>
  <c r="CK29" i="3"/>
  <c r="CM29" i="3"/>
  <c r="CN29" i="3"/>
  <c r="CO29" i="3"/>
  <c r="CP29" i="3"/>
  <c r="CQ29" i="3"/>
  <c r="CR29" i="3"/>
  <c r="CS29" i="3"/>
  <c r="CT29" i="3"/>
  <c r="CU29" i="3"/>
  <c r="CV29" i="3"/>
  <c r="CW29" i="3"/>
  <c r="DB29" i="3"/>
  <c r="DC29" i="3"/>
  <c r="DG29" i="3"/>
  <c r="DU29" i="3"/>
  <c r="DW29" i="3"/>
  <c r="DX29" i="3"/>
  <c r="DY29" i="3"/>
  <c r="EB29" i="3"/>
  <c r="EE29" i="3"/>
  <c r="AS29" i="3" s="1"/>
  <c r="EF29" i="3"/>
  <c r="EG29" i="3"/>
  <c r="EH29" i="3"/>
  <c r="EI29" i="3"/>
  <c r="EJ29" i="3"/>
  <c r="EK29" i="3"/>
  <c r="AT29" i="3" s="1"/>
  <c r="EL29" i="3"/>
  <c r="AO29" i="3" s="1"/>
  <c r="AP29" i="3" s="1"/>
  <c r="EM29" i="3"/>
  <c r="EN29" i="3"/>
  <c r="S30" i="3"/>
  <c r="AF30" i="3"/>
  <c r="AG30" i="3"/>
  <c r="CX30" i="3"/>
  <c r="AH30" i="3"/>
  <c r="DH30" i="3" s="1"/>
  <c r="AI30" i="3"/>
  <c r="AJ30" i="3"/>
  <c r="AK30" i="3"/>
  <c r="AL30" i="3"/>
  <c r="AN30" i="3"/>
  <c r="AU30" i="3"/>
  <c r="AV30" i="3"/>
  <c r="CG30" i="3"/>
  <c r="CH30" i="3"/>
  <c r="CI30" i="3"/>
  <c r="CJ30" i="3"/>
  <c r="CK30" i="3"/>
  <c r="CM30" i="3"/>
  <c r="CN30" i="3"/>
  <c r="CO30" i="3"/>
  <c r="CP30" i="3"/>
  <c r="CQ30" i="3"/>
  <c r="CR30" i="3"/>
  <c r="CS30" i="3"/>
  <c r="CT30" i="3"/>
  <c r="CU30" i="3"/>
  <c r="CV30" i="3"/>
  <c r="CW30" i="3"/>
  <c r="DB30" i="3"/>
  <c r="DC30" i="3"/>
  <c r="DG30" i="3"/>
  <c r="DU30" i="3"/>
  <c r="DW30" i="3"/>
  <c r="DX30" i="3"/>
  <c r="DY30" i="3"/>
  <c r="EB30" i="3"/>
  <c r="EE30" i="3"/>
  <c r="AS30" i="3" s="1"/>
  <c r="EF30" i="3"/>
  <c r="EG30" i="3"/>
  <c r="AM30" i="3" s="1"/>
  <c r="EH30" i="3"/>
  <c r="EI30" i="3"/>
  <c r="EJ30" i="3"/>
  <c r="EK30" i="3"/>
  <c r="AT30" i="3" s="1"/>
  <c r="EL30" i="3"/>
  <c r="EM30" i="3"/>
  <c r="EN30" i="3"/>
  <c r="S31" i="3"/>
  <c r="AF31" i="3"/>
  <c r="AG31" i="3"/>
  <c r="AH31" i="3"/>
  <c r="AI31" i="3"/>
  <c r="AJ31" i="3"/>
  <c r="AK31" i="3"/>
  <c r="AL31" i="3"/>
  <c r="AN31" i="3"/>
  <c r="AU31" i="3"/>
  <c r="AV31" i="3"/>
  <c r="CG31" i="3"/>
  <c r="CH31" i="3"/>
  <c r="CI31" i="3"/>
  <c r="CJ31" i="3"/>
  <c r="CK31" i="3"/>
  <c r="CM31" i="3"/>
  <c r="CN31" i="3"/>
  <c r="CO31" i="3"/>
  <c r="CP31" i="3"/>
  <c r="CQ31" i="3"/>
  <c r="CR31" i="3"/>
  <c r="CS31" i="3"/>
  <c r="CT31" i="3"/>
  <c r="CU31" i="3"/>
  <c r="CV31" i="3"/>
  <c r="CW31" i="3"/>
  <c r="CX31" i="3"/>
  <c r="DB31" i="3"/>
  <c r="DC31" i="3"/>
  <c r="DG31" i="3"/>
  <c r="DH31" i="3"/>
  <c r="DM31" i="3"/>
  <c r="DN31" i="3"/>
  <c r="DO31" i="3"/>
  <c r="DU31" i="3"/>
  <c r="DW31" i="3"/>
  <c r="DX31" i="3"/>
  <c r="DY31" i="3"/>
  <c r="EB31" i="3"/>
  <c r="EE31" i="3"/>
  <c r="EF31" i="3"/>
  <c r="EG31" i="3"/>
  <c r="AO31" i="3" s="1"/>
  <c r="AP31" i="3" s="1"/>
  <c r="EH31" i="3"/>
  <c r="EI31" i="3"/>
  <c r="EJ31" i="3"/>
  <c r="EK31" i="3"/>
  <c r="AT31" i="3" s="1"/>
  <c r="EL31" i="3"/>
  <c r="AR31" i="3" s="1"/>
  <c r="EM31" i="3"/>
  <c r="EN31" i="3"/>
  <c r="S32" i="3"/>
  <c r="AF32" i="3"/>
  <c r="AG32" i="3"/>
  <c r="AH32" i="3"/>
  <c r="DH32" i="3" s="1"/>
  <c r="AI32" i="3"/>
  <c r="AJ32" i="3"/>
  <c r="AK32" i="3"/>
  <c r="AL32" i="3"/>
  <c r="AN32" i="3"/>
  <c r="AU32" i="3"/>
  <c r="AV32" i="3"/>
  <c r="CG32" i="3"/>
  <c r="CH32" i="3"/>
  <c r="CI32" i="3"/>
  <c r="CJ32" i="3"/>
  <c r="CK32" i="3"/>
  <c r="CM32" i="3"/>
  <c r="CN32" i="3"/>
  <c r="CO32" i="3"/>
  <c r="CP32" i="3"/>
  <c r="CQ32" i="3"/>
  <c r="CR32" i="3"/>
  <c r="CS32" i="3"/>
  <c r="CT32" i="3"/>
  <c r="CU32" i="3"/>
  <c r="CV32" i="3"/>
  <c r="CW32" i="3"/>
  <c r="CX32" i="3"/>
  <c r="DB32" i="3"/>
  <c r="DC32" i="3"/>
  <c r="DG32" i="3"/>
  <c r="DM32" i="3"/>
  <c r="DN32" i="3"/>
  <c r="DO32" i="3"/>
  <c r="DU32" i="3"/>
  <c r="DW32" i="3"/>
  <c r="DX32" i="3"/>
  <c r="DY32" i="3"/>
  <c r="EB32" i="3"/>
  <c r="EE32" i="3"/>
  <c r="EF32" i="3"/>
  <c r="EG32" i="3"/>
  <c r="EH32" i="3"/>
  <c r="EI32" i="3"/>
  <c r="EJ32" i="3"/>
  <c r="EK32" i="3"/>
  <c r="AT32" i="3" s="1"/>
  <c r="EL32" i="3"/>
  <c r="AR32" i="3" s="1"/>
  <c r="EM32" i="3"/>
  <c r="EN32" i="3"/>
  <c r="S33" i="3"/>
  <c r="AF33" i="3"/>
  <c r="AG33" i="3"/>
  <c r="CX33" i="3"/>
  <c r="AH33" i="3"/>
  <c r="DH33" i="3"/>
  <c r="AI33" i="3"/>
  <c r="AJ33" i="3"/>
  <c r="AK33" i="3"/>
  <c r="AL33" i="3"/>
  <c r="AN33" i="3"/>
  <c r="AU33" i="3"/>
  <c r="AV33" i="3"/>
  <c r="CG33" i="3"/>
  <c r="CH33" i="3"/>
  <c r="CI33" i="3"/>
  <c r="CJ33" i="3"/>
  <c r="CK33" i="3"/>
  <c r="CM33" i="3"/>
  <c r="CN33" i="3"/>
  <c r="CO33" i="3"/>
  <c r="CP33" i="3"/>
  <c r="CQ33" i="3"/>
  <c r="CR33" i="3"/>
  <c r="CS33" i="3"/>
  <c r="CT33" i="3"/>
  <c r="CU33" i="3"/>
  <c r="CV33" i="3"/>
  <c r="CW33" i="3"/>
  <c r="DB33" i="3"/>
  <c r="DC33" i="3"/>
  <c r="DG33" i="3"/>
  <c r="DM33" i="3"/>
  <c r="DN33" i="3"/>
  <c r="DO33" i="3"/>
  <c r="DU33" i="3"/>
  <c r="DW33" i="3"/>
  <c r="DX33" i="3"/>
  <c r="DY33" i="3"/>
  <c r="EB33" i="3"/>
  <c r="EE33" i="3"/>
  <c r="EO33" i="3" s="1"/>
  <c r="EF33" i="3"/>
  <c r="EG33" i="3"/>
  <c r="EH33" i="3"/>
  <c r="AS33" i="3"/>
  <c r="EI33" i="3"/>
  <c r="EJ33" i="3"/>
  <c r="EK33" i="3"/>
  <c r="AT33" i="3" s="1"/>
  <c r="EL33" i="3"/>
  <c r="AR33" i="3" s="1"/>
  <c r="EM33" i="3"/>
  <c r="EN33" i="3"/>
  <c r="S34" i="3"/>
  <c r="AF34" i="3"/>
  <c r="AG34" i="3"/>
  <c r="CX34" i="3" s="1"/>
  <c r="AH34" i="3"/>
  <c r="AI34" i="3"/>
  <c r="AJ34" i="3"/>
  <c r="AK34" i="3"/>
  <c r="AL34" i="3"/>
  <c r="AN34" i="3"/>
  <c r="AT34" i="3"/>
  <c r="AU34" i="3"/>
  <c r="AV34" i="3"/>
  <c r="CG34" i="3"/>
  <c r="CH34" i="3"/>
  <c r="CI34" i="3"/>
  <c r="CJ34" i="3"/>
  <c r="CK34" i="3"/>
  <c r="CM34" i="3"/>
  <c r="CN34" i="3"/>
  <c r="CO34" i="3"/>
  <c r="CP34" i="3"/>
  <c r="CQ34" i="3"/>
  <c r="CR34" i="3"/>
  <c r="CS34" i="3"/>
  <c r="CT34" i="3"/>
  <c r="CU34" i="3"/>
  <c r="CV34" i="3"/>
  <c r="CW34" i="3"/>
  <c r="DB34" i="3"/>
  <c r="DC34" i="3"/>
  <c r="DG34" i="3"/>
  <c r="DH34" i="3"/>
  <c r="DM34" i="3"/>
  <c r="DN34" i="3"/>
  <c r="DO34" i="3"/>
  <c r="DU34" i="3"/>
  <c r="DW34" i="3"/>
  <c r="DX34" i="3"/>
  <c r="DY34" i="3"/>
  <c r="EB34" i="3"/>
  <c r="EE34" i="3"/>
  <c r="EF34" i="3"/>
  <c r="EG34" i="3"/>
  <c r="EH34" i="3"/>
  <c r="EI34" i="3"/>
  <c r="EJ34" i="3"/>
  <c r="EK34" i="3"/>
  <c r="AM34" i="3" s="1"/>
  <c r="EL34" i="3"/>
  <c r="AO34" i="3" s="1"/>
  <c r="AP34" i="3" s="1"/>
  <c r="EM34" i="3"/>
  <c r="EN34" i="3"/>
  <c r="S35" i="3"/>
  <c r="AF35" i="3"/>
  <c r="AG35" i="3"/>
  <c r="CX35" i="3" s="1"/>
  <c r="AH35" i="3"/>
  <c r="DH35" i="3" s="1"/>
  <c r="AI35" i="3"/>
  <c r="AJ35" i="3"/>
  <c r="AK35" i="3"/>
  <c r="AL35" i="3"/>
  <c r="AN35" i="3"/>
  <c r="AU35" i="3"/>
  <c r="AV35" i="3"/>
  <c r="CG35" i="3"/>
  <c r="CH35" i="3"/>
  <c r="CI35" i="3"/>
  <c r="CJ35" i="3"/>
  <c r="CK35" i="3"/>
  <c r="CM35" i="3"/>
  <c r="CN35" i="3"/>
  <c r="CO35" i="3"/>
  <c r="CP35" i="3"/>
  <c r="CQ35" i="3"/>
  <c r="CR35" i="3"/>
  <c r="CS35" i="3"/>
  <c r="CT35" i="3"/>
  <c r="CU35" i="3"/>
  <c r="CV35" i="3"/>
  <c r="CW35" i="3"/>
  <c r="DB35" i="3"/>
  <c r="DC35" i="3"/>
  <c r="DG35" i="3"/>
  <c r="DM35" i="3"/>
  <c r="DN35" i="3"/>
  <c r="DO35" i="3"/>
  <c r="DU35" i="3"/>
  <c r="DW35" i="3"/>
  <c r="DX35" i="3"/>
  <c r="DY35" i="3"/>
  <c r="EB35" i="3"/>
  <c r="EE35" i="3"/>
  <c r="EF35" i="3"/>
  <c r="EG35" i="3"/>
  <c r="EH35" i="3"/>
  <c r="EI35" i="3"/>
  <c r="EJ35" i="3"/>
  <c r="EK35" i="3"/>
  <c r="EL35" i="3"/>
  <c r="EM35" i="3"/>
  <c r="EN35" i="3"/>
  <c r="S36" i="3"/>
  <c r="AF36" i="3"/>
  <c r="AG36" i="3"/>
  <c r="CX36" i="3" s="1"/>
  <c r="AH36" i="3"/>
  <c r="AI36" i="3"/>
  <c r="AJ36" i="3"/>
  <c r="AK36" i="3"/>
  <c r="AL36" i="3"/>
  <c r="AN36" i="3"/>
  <c r="AU36" i="3"/>
  <c r="AV36" i="3"/>
  <c r="CG36" i="3"/>
  <c r="CH36" i="3"/>
  <c r="CI36" i="3"/>
  <c r="CJ36" i="3"/>
  <c r="CK36" i="3"/>
  <c r="CM36" i="3"/>
  <c r="CN36" i="3"/>
  <c r="CO36" i="3"/>
  <c r="CP36" i="3"/>
  <c r="CQ36" i="3"/>
  <c r="CR36" i="3"/>
  <c r="CS36" i="3"/>
  <c r="CT36" i="3"/>
  <c r="CU36" i="3"/>
  <c r="CV36" i="3"/>
  <c r="CW36" i="3"/>
  <c r="DB36" i="3"/>
  <c r="DC36" i="3"/>
  <c r="DG36" i="3"/>
  <c r="DH36" i="3"/>
  <c r="DM36" i="3"/>
  <c r="DN36" i="3"/>
  <c r="DO36" i="3"/>
  <c r="DU36" i="3"/>
  <c r="DW36" i="3"/>
  <c r="DX36" i="3"/>
  <c r="DY36" i="3"/>
  <c r="EB36" i="3"/>
  <c r="EE36" i="3"/>
  <c r="EF36" i="3"/>
  <c r="EG36" i="3"/>
  <c r="EH36" i="3"/>
  <c r="EI36" i="3"/>
  <c r="EJ36" i="3"/>
  <c r="AT36" i="3" s="1"/>
  <c r="EK36" i="3"/>
  <c r="AM36" i="3" s="1"/>
  <c r="EL36" i="3"/>
  <c r="EM36" i="3"/>
  <c r="EN36" i="3"/>
  <c r="S37" i="3"/>
  <c r="AF37" i="3"/>
  <c r="AG37" i="3"/>
  <c r="CX37" i="3" s="1"/>
  <c r="AH37" i="3"/>
  <c r="DH37" i="3" s="1"/>
  <c r="AI37" i="3"/>
  <c r="AJ37" i="3"/>
  <c r="AK37" i="3"/>
  <c r="AL37" i="3"/>
  <c r="AN37" i="3"/>
  <c r="AR37" i="3"/>
  <c r="AU37" i="3"/>
  <c r="AV37" i="3"/>
  <c r="CG37" i="3"/>
  <c r="CH37" i="3"/>
  <c r="CI37" i="3"/>
  <c r="CJ37" i="3"/>
  <c r="CK37" i="3"/>
  <c r="CM37" i="3"/>
  <c r="CN37" i="3"/>
  <c r="CO37" i="3"/>
  <c r="CP37" i="3"/>
  <c r="CQ37" i="3"/>
  <c r="CR37" i="3"/>
  <c r="CS37" i="3"/>
  <c r="CT37" i="3"/>
  <c r="CU37" i="3"/>
  <c r="CV37" i="3"/>
  <c r="CW37" i="3"/>
  <c r="DB37" i="3"/>
  <c r="DC37" i="3"/>
  <c r="DG37" i="3"/>
  <c r="DM37" i="3"/>
  <c r="DN37" i="3"/>
  <c r="DO37" i="3"/>
  <c r="DU37" i="3"/>
  <c r="DW37" i="3"/>
  <c r="DX37" i="3"/>
  <c r="DY37" i="3"/>
  <c r="EB37" i="3"/>
  <c r="EE37" i="3"/>
  <c r="EF37" i="3"/>
  <c r="EG37" i="3"/>
  <c r="EH37" i="3"/>
  <c r="EI37" i="3"/>
  <c r="EJ37" i="3"/>
  <c r="EO37" i="3" s="1"/>
  <c r="EK37" i="3"/>
  <c r="AM37" i="3" s="1"/>
  <c r="EL37" i="3"/>
  <c r="AO37" i="3" s="1"/>
  <c r="AP37" i="3" s="1"/>
  <c r="EM37" i="3"/>
  <c r="EN37" i="3"/>
  <c r="S38" i="3"/>
  <c r="AF38" i="3"/>
  <c r="AG38" i="3"/>
  <c r="CX38" i="3" s="1"/>
  <c r="AH38" i="3"/>
  <c r="DH38" i="3" s="1"/>
  <c r="AI38" i="3"/>
  <c r="AJ38" i="3"/>
  <c r="AK38" i="3"/>
  <c r="AL38" i="3"/>
  <c r="AN38" i="3"/>
  <c r="AU38" i="3"/>
  <c r="AV38" i="3"/>
  <c r="CG38" i="3"/>
  <c r="CH38" i="3"/>
  <c r="CI38" i="3"/>
  <c r="CJ38" i="3"/>
  <c r="CK38" i="3"/>
  <c r="CM38" i="3"/>
  <c r="CN38" i="3"/>
  <c r="CO38" i="3"/>
  <c r="CP38" i="3"/>
  <c r="CQ38" i="3"/>
  <c r="CR38" i="3"/>
  <c r="CS38" i="3"/>
  <c r="CT38" i="3"/>
  <c r="CU38" i="3"/>
  <c r="CV38" i="3"/>
  <c r="CW38" i="3"/>
  <c r="DB38" i="3"/>
  <c r="DC38" i="3"/>
  <c r="DG38" i="3"/>
  <c r="DM38" i="3"/>
  <c r="DN38" i="3"/>
  <c r="DO38" i="3"/>
  <c r="DU38" i="3"/>
  <c r="DW38" i="3"/>
  <c r="DX38" i="3"/>
  <c r="DY38" i="3"/>
  <c r="EB38" i="3"/>
  <c r="EE38" i="3"/>
  <c r="EF38" i="3"/>
  <c r="EG38" i="3"/>
  <c r="EH38" i="3"/>
  <c r="EI38" i="3"/>
  <c r="EJ38" i="3"/>
  <c r="EK38" i="3"/>
  <c r="EL38" i="3"/>
  <c r="AQ38" i="3" s="1"/>
  <c r="EM38" i="3"/>
  <c r="AO38" i="3" s="1"/>
  <c r="AP38" i="3" s="1"/>
  <c r="EN38" i="3"/>
  <c r="S39" i="3"/>
  <c r="AF39" i="3"/>
  <c r="AG39" i="3"/>
  <c r="CX39" i="3"/>
  <c r="AH39" i="3"/>
  <c r="AI39" i="3"/>
  <c r="AJ39" i="3"/>
  <c r="AK39" i="3"/>
  <c r="AL39" i="3"/>
  <c r="AN39" i="3"/>
  <c r="AU39" i="3"/>
  <c r="AV39" i="3"/>
  <c r="CG39" i="3"/>
  <c r="CH39" i="3"/>
  <c r="CI39" i="3"/>
  <c r="CJ39" i="3"/>
  <c r="CK39" i="3"/>
  <c r="CM39" i="3"/>
  <c r="CN39" i="3"/>
  <c r="CO39" i="3"/>
  <c r="CP39" i="3"/>
  <c r="CQ39" i="3"/>
  <c r="CR39" i="3"/>
  <c r="CS39" i="3"/>
  <c r="CT39" i="3"/>
  <c r="CU39" i="3"/>
  <c r="CV39" i="3"/>
  <c r="CW39" i="3"/>
  <c r="DB39" i="3"/>
  <c r="DC39" i="3"/>
  <c r="DG39" i="3"/>
  <c r="DH39" i="3"/>
  <c r="DM39" i="3"/>
  <c r="DN39" i="3"/>
  <c r="DO39" i="3"/>
  <c r="DU39" i="3"/>
  <c r="DW39" i="3"/>
  <c r="DX39" i="3"/>
  <c r="DY39" i="3"/>
  <c r="EB39" i="3"/>
  <c r="EE39" i="3"/>
  <c r="EF39" i="3"/>
  <c r="EG39" i="3"/>
  <c r="EH39" i="3"/>
  <c r="EI39" i="3"/>
  <c r="EO39" i="3" s="1"/>
  <c r="EJ39" i="3"/>
  <c r="AT39" i="3"/>
  <c r="EK39" i="3"/>
  <c r="EL39" i="3"/>
  <c r="EM39" i="3"/>
  <c r="EN39" i="3"/>
  <c r="S40" i="3"/>
  <c r="AF40" i="3"/>
  <c r="AG40" i="3"/>
  <c r="CX40" i="3" s="1"/>
  <c r="AH40" i="3"/>
  <c r="DH40" i="3" s="1"/>
  <c r="AI40" i="3"/>
  <c r="AJ40" i="3"/>
  <c r="AK40" i="3"/>
  <c r="AL40" i="3"/>
  <c r="AN40" i="3"/>
  <c r="AU40" i="3"/>
  <c r="AV40" i="3"/>
  <c r="CG40" i="3"/>
  <c r="CH40" i="3"/>
  <c r="CI40" i="3"/>
  <c r="CJ40" i="3"/>
  <c r="CK40" i="3"/>
  <c r="CM40" i="3"/>
  <c r="CN40" i="3"/>
  <c r="CO40" i="3"/>
  <c r="CP40" i="3"/>
  <c r="CQ40" i="3"/>
  <c r="CR40" i="3"/>
  <c r="CS40" i="3"/>
  <c r="CT40" i="3"/>
  <c r="CU40" i="3"/>
  <c r="CV40" i="3"/>
  <c r="CW40" i="3"/>
  <c r="DB40" i="3"/>
  <c r="DC40" i="3"/>
  <c r="DG40" i="3"/>
  <c r="DM40" i="3"/>
  <c r="DN40" i="3"/>
  <c r="DO40" i="3"/>
  <c r="DU40" i="3"/>
  <c r="DW40" i="3"/>
  <c r="DX40" i="3"/>
  <c r="DY40" i="3"/>
  <c r="EB40" i="3"/>
  <c r="EE40" i="3"/>
  <c r="EF40" i="3"/>
  <c r="AS40" i="3" s="1"/>
  <c r="EG40" i="3"/>
  <c r="AR40" i="3" s="1"/>
  <c r="EH40" i="3"/>
  <c r="EI40" i="3"/>
  <c r="EJ40" i="3"/>
  <c r="EK40" i="3"/>
  <c r="EL40" i="3"/>
  <c r="EM40" i="3"/>
  <c r="EN40" i="3"/>
  <c r="S41" i="3"/>
  <c r="AF41" i="3"/>
  <c r="AG41" i="3"/>
  <c r="AH41" i="3"/>
  <c r="DH41" i="3" s="1"/>
  <c r="AI41" i="3"/>
  <c r="AJ41" i="3"/>
  <c r="AK41" i="3"/>
  <c r="AL41" i="3"/>
  <c r="AM41" i="3"/>
  <c r="AN41" i="3"/>
  <c r="AU41" i="3"/>
  <c r="AV41" i="3"/>
  <c r="CG41" i="3"/>
  <c r="CH41" i="3"/>
  <c r="CI41" i="3"/>
  <c r="CJ41" i="3"/>
  <c r="CK41" i="3"/>
  <c r="CM41" i="3"/>
  <c r="CN41" i="3"/>
  <c r="CO41" i="3"/>
  <c r="CP41" i="3"/>
  <c r="CQ41" i="3"/>
  <c r="CR41" i="3"/>
  <c r="CS41" i="3"/>
  <c r="CT41" i="3"/>
  <c r="CU41" i="3"/>
  <c r="CV41" i="3"/>
  <c r="CW41" i="3"/>
  <c r="CX41" i="3"/>
  <c r="DB41" i="3"/>
  <c r="DC41" i="3"/>
  <c r="DG41" i="3"/>
  <c r="DM41" i="3"/>
  <c r="DN41" i="3"/>
  <c r="DO41" i="3"/>
  <c r="DU41" i="3"/>
  <c r="DW41" i="3"/>
  <c r="DX41" i="3"/>
  <c r="DY41" i="3"/>
  <c r="EB41" i="3"/>
  <c r="EE41" i="3"/>
  <c r="EF41" i="3"/>
  <c r="EG41" i="3"/>
  <c r="AQ41" i="3" s="1"/>
  <c r="EH41" i="3"/>
  <c r="EI41" i="3"/>
  <c r="EJ41" i="3"/>
  <c r="EK41" i="3"/>
  <c r="EL41" i="3"/>
  <c r="EM41" i="3"/>
  <c r="EN41" i="3"/>
  <c r="S42" i="3"/>
  <c r="AF42" i="3"/>
  <c r="AG42" i="3"/>
  <c r="CX42" i="3" s="1"/>
  <c r="AH42" i="3"/>
  <c r="DH42" i="3" s="1"/>
  <c r="AI42" i="3"/>
  <c r="AJ42" i="3"/>
  <c r="AK42" i="3"/>
  <c r="AL42" i="3"/>
  <c r="AN42" i="3"/>
  <c r="AU42" i="3"/>
  <c r="AV42" i="3"/>
  <c r="CG42" i="3"/>
  <c r="CH42" i="3"/>
  <c r="CI42" i="3"/>
  <c r="CJ42" i="3"/>
  <c r="CK42" i="3"/>
  <c r="CM42" i="3"/>
  <c r="CN42" i="3"/>
  <c r="CO42" i="3"/>
  <c r="CP42" i="3"/>
  <c r="CQ42" i="3"/>
  <c r="CR42" i="3"/>
  <c r="CS42" i="3"/>
  <c r="CT42" i="3"/>
  <c r="CU42" i="3"/>
  <c r="CV42" i="3"/>
  <c r="CW42" i="3"/>
  <c r="DB42" i="3"/>
  <c r="DC42" i="3"/>
  <c r="DG42" i="3"/>
  <c r="DU42" i="3"/>
  <c r="DW42" i="3"/>
  <c r="DX42" i="3"/>
  <c r="DY42" i="3"/>
  <c r="EB42" i="3"/>
  <c r="EE42" i="3"/>
  <c r="EF42" i="3"/>
  <c r="EG42" i="3"/>
  <c r="EH42" i="3"/>
  <c r="EI42" i="3"/>
  <c r="EJ42" i="3"/>
  <c r="EK42" i="3"/>
  <c r="EL42" i="3"/>
  <c r="EM42" i="3"/>
  <c r="EN42" i="3"/>
  <c r="S43" i="3"/>
  <c r="AF43" i="3"/>
  <c r="AG43" i="3"/>
  <c r="CX43" i="3" s="1"/>
  <c r="AH43" i="3"/>
  <c r="DH43" i="3" s="1"/>
  <c r="AI43" i="3"/>
  <c r="AJ43" i="3"/>
  <c r="AK43" i="3"/>
  <c r="AL43" i="3"/>
  <c r="AN43" i="3"/>
  <c r="AR43" i="3"/>
  <c r="AU43" i="3"/>
  <c r="AV43" i="3"/>
  <c r="CG43" i="3"/>
  <c r="CH43" i="3"/>
  <c r="CI43" i="3"/>
  <c r="CJ43" i="3"/>
  <c r="CK43" i="3"/>
  <c r="CM43" i="3"/>
  <c r="CN43" i="3"/>
  <c r="CO43" i="3"/>
  <c r="CP43" i="3"/>
  <c r="CQ43" i="3"/>
  <c r="CR43" i="3"/>
  <c r="CS43" i="3"/>
  <c r="CT43" i="3"/>
  <c r="CU43" i="3"/>
  <c r="CV43" i="3"/>
  <c r="CW43" i="3"/>
  <c r="DB43" i="3"/>
  <c r="DC43" i="3"/>
  <c r="DG43" i="3"/>
  <c r="DU43" i="3"/>
  <c r="DW43" i="3"/>
  <c r="DX43" i="3"/>
  <c r="DY43" i="3"/>
  <c r="EB43" i="3"/>
  <c r="EE43" i="3"/>
  <c r="EF43" i="3"/>
  <c r="EG43" i="3"/>
  <c r="EH43" i="3"/>
  <c r="AS43" i="3" s="1"/>
  <c r="EI43" i="3"/>
  <c r="EJ43" i="3"/>
  <c r="EK43" i="3"/>
  <c r="EL43" i="3"/>
  <c r="AO43" i="3" s="1"/>
  <c r="AP43" i="3" s="1"/>
  <c r="EM43" i="3"/>
  <c r="EN43" i="3"/>
  <c r="S44" i="3"/>
  <c r="AF44" i="3"/>
  <c r="AG44" i="3"/>
  <c r="CX44" i="3" s="1"/>
  <c r="AH44" i="3"/>
  <c r="AI44" i="3"/>
  <c r="AJ44" i="3"/>
  <c r="AK44" i="3"/>
  <c r="AL44" i="3"/>
  <c r="AN44" i="3"/>
  <c r="AU44" i="3"/>
  <c r="AV44" i="3"/>
  <c r="CG44" i="3"/>
  <c r="CH44" i="3"/>
  <c r="CI44" i="3"/>
  <c r="CJ44" i="3"/>
  <c r="CK44" i="3"/>
  <c r="CM44" i="3"/>
  <c r="CN44" i="3"/>
  <c r="CO44" i="3"/>
  <c r="CP44" i="3"/>
  <c r="CQ44" i="3"/>
  <c r="CR44" i="3"/>
  <c r="CS44" i="3"/>
  <c r="CT44" i="3"/>
  <c r="CU44" i="3"/>
  <c r="CV44" i="3"/>
  <c r="CW44" i="3"/>
  <c r="DB44" i="3"/>
  <c r="DC44" i="3"/>
  <c r="DG44" i="3"/>
  <c r="DH44" i="3"/>
  <c r="DU44" i="3"/>
  <c r="DW44" i="3"/>
  <c r="DX44" i="3"/>
  <c r="DY44" i="3"/>
  <c r="EB44" i="3"/>
  <c r="EE44" i="3"/>
  <c r="EO44" i="3" s="1"/>
  <c r="EF44" i="3"/>
  <c r="EG44" i="3"/>
  <c r="AQ44" i="3" s="1"/>
  <c r="EH44" i="3"/>
  <c r="EI44" i="3"/>
  <c r="EJ44" i="3"/>
  <c r="EK44" i="3"/>
  <c r="EL44" i="3"/>
  <c r="EM44" i="3"/>
  <c r="EN44" i="3"/>
  <c r="S45" i="3"/>
  <c r="AF45" i="3"/>
  <c r="AG45" i="3"/>
  <c r="AH45" i="3"/>
  <c r="DH45" i="3"/>
  <c r="AI45" i="3"/>
  <c r="AJ45" i="3"/>
  <c r="AK45" i="3"/>
  <c r="AL45" i="3"/>
  <c r="AN45" i="3"/>
  <c r="AU45" i="3"/>
  <c r="AV45" i="3"/>
  <c r="CG45" i="3"/>
  <c r="DL45" i="3" s="1"/>
  <c r="CH45" i="3"/>
  <c r="CJ45" i="3"/>
  <c r="CK45" i="3"/>
  <c r="CM45" i="3"/>
  <c r="CO45" i="3"/>
  <c r="CP45" i="3"/>
  <c r="CQ45" i="3"/>
  <c r="CS45" i="3"/>
  <c r="CT45" i="3"/>
  <c r="DK45" i="3" s="1"/>
  <c r="CU45" i="3"/>
  <c r="CV45" i="3"/>
  <c r="CW45" i="3"/>
  <c r="CX45" i="3"/>
  <c r="DA45" i="3"/>
  <c r="DB45" i="3"/>
  <c r="DG45" i="3"/>
  <c r="DJ45" i="3"/>
  <c r="DM45" i="3"/>
  <c r="DN45" i="3"/>
  <c r="DO45" i="3"/>
  <c r="DP45" i="3"/>
  <c r="DQ45" i="3"/>
  <c r="DR45" i="3"/>
  <c r="DS45" i="3"/>
  <c r="DT45" i="3"/>
  <c r="DU45" i="3"/>
  <c r="DW45" i="3"/>
  <c r="DX45" i="3"/>
  <c r="DY45" i="3"/>
  <c r="EE45" i="3"/>
  <c r="EF45" i="3"/>
  <c r="EG45" i="3"/>
  <c r="EH45" i="3"/>
  <c r="EI45" i="3"/>
  <c r="EJ45" i="3"/>
  <c r="EK45" i="3"/>
  <c r="EL45" i="3"/>
  <c r="EM45" i="3"/>
  <c r="EN45" i="3"/>
  <c r="S46" i="3"/>
  <c r="AF46" i="3"/>
  <c r="AG46" i="3"/>
  <c r="AH46" i="3"/>
  <c r="DH46" i="3" s="1"/>
  <c r="AI46" i="3"/>
  <c r="AJ46" i="3"/>
  <c r="AK46" i="3"/>
  <c r="AL46" i="3"/>
  <c r="AN46" i="3"/>
  <c r="AU46" i="3"/>
  <c r="AV46" i="3"/>
  <c r="CG46" i="3"/>
  <c r="CH46" i="3"/>
  <c r="CI46" i="3"/>
  <c r="EC46" i="3" s="1"/>
  <c r="CJ46" i="3"/>
  <c r="CK46" i="3"/>
  <c r="CM46" i="3"/>
  <c r="CN46" i="3"/>
  <c r="CO46" i="3"/>
  <c r="CP46" i="3"/>
  <c r="CQ46" i="3"/>
  <c r="CR46" i="3"/>
  <c r="CS46" i="3"/>
  <c r="CT46" i="3"/>
  <c r="CU46" i="3"/>
  <c r="CV46" i="3"/>
  <c r="CW46" i="3"/>
  <c r="CX46" i="3"/>
  <c r="CY46" i="3"/>
  <c r="CZ46" i="3"/>
  <c r="DA46" i="3"/>
  <c r="DB46" i="3"/>
  <c r="DC46" i="3"/>
  <c r="DD46" i="3"/>
  <c r="DE46" i="3"/>
  <c r="DF46" i="3"/>
  <c r="DG46" i="3"/>
  <c r="DI46" i="3"/>
  <c r="DJ46" i="3"/>
  <c r="DM46" i="3"/>
  <c r="DN46" i="3"/>
  <c r="DO46" i="3"/>
  <c r="DP46" i="3"/>
  <c r="DQ46" i="3"/>
  <c r="DR46" i="3"/>
  <c r="DS46" i="3"/>
  <c r="DT46" i="3"/>
  <c r="DU46" i="3"/>
  <c r="DV46" i="3"/>
  <c r="DW46" i="3"/>
  <c r="DX46" i="3"/>
  <c r="DY46" i="3"/>
  <c r="EA46" i="3"/>
  <c r="EB46" i="3"/>
  <c r="EE46" i="3"/>
  <c r="EF46" i="3"/>
  <c r="EG46" i="3"/>
  <c r="EH46" i="3"/>
  <c r="EI46" i="3"/>
  <c r="EJ46" i="3"/>
  <c r="EK46" i="3"/>
  <c r="EL46" i="3"/>
  <c r="EM46" i="3"/>
  <c r="EN46" i="3"/>
  <c r="S47" i="3"/>
  <c r="AF47" i="3"/>
  <c r="AG47" i="3"/>
  <c r="CX47" i="3"/>
  <c r="AH47" i="3"/>
  <c r="AI47" i="3"/>
  <c r="AJ47" i="3"/>
  <c r="AK47" i="3"/>
  <c r="AL47" i="3"/>
  <c r="AN47" i="3"/>
  <c r="AU47" i="3"/>
  <c r="AV47" i="3"/>
  <c r="CG47" i="3"/>
  <c r="CH47" i="3"/>
  <c r="CI47" i="3"/>
  <c r="CJ47" i="3"/>
  <c r="CK47" i="3"/>
  <c r="CM47" i="3"/>
  <c r="CN47" i="3"/>
  <c r="CO47" i="3"/>
  <c r="CP47" i="3"/>
  <c r="CQ47" i="3"/>
  <c r="CR47" i="3"/>
  <c r="CS47" i="3"/>
  <c r="CT47" i="3"/>
  <c r="CU47" i="3"/>
  <c r="DB47" i="3"/>
  <c r="DC47" i="3"/>
  <c r="DG47" i="3"/>
  <c r="DN47" i="3"/>
  <c r="DO47" i="3"/>
  <c r="DT47" i="3"/>
  <c r="DU47" i="3"/>
  <c r="DX47" i="3"/>
  <c r="EA47" i="3"/>
  <c r="EB47" i="3"/>
  <c r="EE47" i="3"/>
  <c r="EF47" i="3"/>
  <c r="EG47" i="3"/>
  <c r="EH47" i="3"/>
  <c r="EI47" i="3"/>
  <c r="EJ47" i="3"/>
  <c r="EK47" i="3"/>
  <c r="EL47" i="3"/>
  <c r="EM47" i="3"/>
  <c r="AS47" i="3" s="1"/>
  <c r="EN47" i="3"/>
  <c r="S48" i="3"/>
  <c r="AF48" i="3"/>
  <c r="AG48" i="3"/>
  <c r="AH48" i="3"/>
  <c r="DH48" i="3" s="1"/>
  <c r="AI48" i="3"/>
  <c r="AJ48" i="3"/>
  <c r="AK48" i="3"/>
  <c r="AL48" i="3"/>
  <c r="AN48" i="3"/>
  <c r="AU48" i="3"/>
  <c r="AV48" i="3"/>
  <c r="CG48" i="3"/>
  <c r="DK48" i="3" s="1"/>
  <c r="CH48" i="3"/>
  <c r="CI48" i="3"/>
  <c r="EC48" i="3" s="1"/>
  <c r="CJ48" i="3"/>
  <c r="CK48" i="3"/>
  <c r="CM48" i="3"/>
  <c r="CN48" i="3"/>
  <c r="CO48" i="3"/>
  <c r="CP48" i="3"/>
  <c r="CQ48" i="3"/>
  <c r="CR48" i="3"/>
  <c r="CS48" i="3"/>
  <c r="CT48" i="3"/>
  <c r="CU48" i="3"/>
  <c r="CV48" i="3"/>
  <c r="CW48" i="3"/>
  <c r="CX48" i="3"/>
  <c r="CY48" i="3"/>
  <c r="CZ48" i="3"/>
  <c r="DA48" i="3"/>
  <c r="DB48" i="3"/>
  <c r="DC48" i="3"/>
  <c r="DD48" i="3"/>
  <c r="DE48" i="3"/>
  <c r="DF48" i="3"/>
  <c r="DG48" i="3"/>
  <c r="DI48" i="3"/>
  <c r="DJ48" i="3"/>
  <c r="DM48" i="3"/>
  <c r="DN48" i="3"/>
  <c r="DO48" i="3"/>
  <c r="DP48" i="3"/>
  <c r="DQ48" i="3"/>
  <c r="DR48" i="3"/>
  <c r="DS48" i="3"/>
  <c r="DT48" i="3"/>
  <c r="DU48" i="3"/>
  <c r="DV48" i="3"/>
  <c r="DX48" i="3"/>
  <c r="DY48" i="3"/>
  <c r="EA48" i="3"/>
  <c r="EB48" i="3"/>
  <c r="EE48" i="3"/>
  <c r="EF48" i="3"/>
  <c r="EG48" i="3"/>
  <c r="EH48" i="3"/>
  <c r="EI48" i="3"/>
  <c r="EO48" i="3" s="1"/>
  <c r="EJ48" i="3"/>
  <c r="EK48" i="3"/>
  <c r="AT48" i="3" s="1"/>
  <c r="EL48" i="3"/>
  <c r="EM48" i="3"/>
  <c r="EN48" i="3"/>
  <c r="S49" i="3"/>
  <c r="AF49" i="3"/>
  <c r="AG49" i="3"/>
  <c r="CX49" i="3" s="1"/>
  <c r="AH49" i="3"/>
  <c r="AI49" i="3"/>
  <c r="AJ49" i="3"/>
  <c r="AK49" i="3"/>
  <c r="AL49" i="3"/>
  <c r="AN49" i="3"/>
  <c r="AU49" i="3"/>
  <c r="AV49" i="3"/>
  <c r="CU49" i="3"/>
  <c r="DB49" i="3"/>
  <c r="DG49" i="3"/>
  <c r="DT49" i="3"/>
  <c r="DU49" i="3"/>
  <c r="DX49" i="3"/>
  <c r="EE49" i="3"/>
  <c r="EF49" i="3"/>
  <c r="AS49" i="3" s="1"/>
  <c r="EG49" i="3"/>
  <c r="EH49" i="3"/>
  <c r="EI49" i="3"/>
  <c r="EJ49" i="3"/>
  <c r="EK49" i="3"/>
  <c r="AM49" i="3" s="1"/>
  <c r="EL49" i="3"/>
  <c r="EM49" i="3"/>
  <c r="AR49" i="3"/>
  <c r="EN49" i="3"/>
  <c r="S50" i="3"/>
  <c r="AF50" i="3"/>
  <c r="AG50" i="3"/>
  <c r="AH50" i="3"/>
  <c r="AI50" i="3"/>
  <c r="AJ50" i="3"/>
  <c r="AK50" i="3"/>
  <c r="AL50" i="3"/>
  <c r="AN50" i="3"/>
  <c r="AU50" i="3"/>
  <c r="AV50" i="3"/>
  <c r="CU50" i="3"/>
  <c r="CX50" i="3"/>
  <c r="DB50" i="3"/>
  <c r="DG50" i="3"/>
  <c r="DT50" i="3"/>
  <c r="DU50" i="3"/>
  <c r="DW50" i="3"/>
  <c r="DX50" i="3"/>
  <c r="EE50" i="3"/>
  <c r="EO50" i="3" s="1"/>
  <c r="EF50" i="3"/>
  <c r="EG50" i="3"/>
  <c r="EH50" i="3"/>
  <c r="AS50" i="3" s="1"/>
  <c r="EI50" i="3"/>
  <c r="EJ50" i="3"/>
  <c r="EK50" i="3"/>
  <c r="EL50" i="3"/>
  <c r="EM50" i="3"/>
  <c r="EN50" i="3"/>
  <c r="S51" i="3"/>
  <c r="AF51" i="3"/>
  <c r="AG51" i="3"/>
  <c r="AH51" i="3"/>
  <c r="AI51" i="3"/>
  <c r="AJ51" i="3"/>
  <c r="AK51" i="3"/>
  <c r="AL51" i="3"/>
  <c r="AN51" i="3"/>
  <c r="AU51" i="3"/>
  <c r="AV51" i="3"/>
  <c r="CX51" i="3"/>
  <c r="DB51" i="3"/>
  <c r="DG51" i="3"/>
  <c r="DT51" i="3"/>
  <c r="DU51" i="3"/>
  <c r="DW51" i="3"/>
  <c r="DX51" i="3"/>
  <c r="EE51" i="3"/>
  <c r="AS51" i="3" s="1"/>
  <c r="EF51" i="3"/>
  <c r="EG51" i="3"/>
  <c r="EH51" i="3"/>
  <c r="EI51" i="3"/>
  <c r="EJ51" i="3"/>
  <c r="EK51" i="3"/>
  <c r="EL51" i="3"/>
  <c r="EM51" i="3"/>
  <c r="AO51" i="3" s="1"/>
  <c r="AP51" i="3" s="1"/>
  <c r="EN51" i="3"/>
  <c r="S52" i="3"/>
  <c r="AF52" i="3"/>
  <c r="AG52" i="3"/>
  <c r="AH52" i="3"/>
  <c r="DH52" i="3"/>
  <c r="AI52" i="3"/>
  <c r="AJ52" i="3"/>
  <c r="AK52" i="3"/>
  <c r="AL52" i="3"/>
  <c r="AN52" i="3"/>
  <c r="AU52" i="3"/>
  <c r="AV52" i="3"/>
  <c r="CG52" i="3"/>
  <c r="CH52" i="3"/>
  <c r="CJ52" i="3"/>
  <c r="CK52" i="3"/>
  <c r="CU52" i="3"/>
  <c r="CV52" i="3"/>
  <c r="CW52" i="3"/>
  <c r="CX52" i="3"/>
  <c r="CZ52" i="3"/>
  <c r="DA52" i="3"/>
  <c r="DB52" i="3"/>
  <c r="DC52" i="3"/>
  <c r="DG52" i="3"/>
  <c r="DI52" i="3"/>
  <c r="DU52" i="3"/>
  <c r="DW52" i="3"/>
  <c r="DX52" i="3"/>
  <c r="DY52" i="3"/>
  <c r="EA52" i="3"/>
  <c r="EB52" i="3"/>
  <c r="EE52" i="3"/>
  <c r="EF52" i="3"/>
  <c r="EG52" i="3"/>
  <c r="AM52" i="3" s="1"/>
  <c r="EH52" i="3"/>
  <c r="EI52" i="3"/>
  <c r="EJ52" i="3"/>
  <c r="EK52" i="3"/>
  <c r="EL52" i="3"/>
  <c r="EM52" i="3"/>
  <c r="EN52" i="3"/>
  <c r="S53" i="3"/>
  <c r="AF53" i="3"/>
  <c r="AG53" i="3"/>
  <c r="CX53" i="3" s="1"/>
  <c r="AH53" i="3"/>
  <c r="DH53" i="3"/>
  <c r="AI53" i="3"/>
  <c r="AJ53" i="3"/>
  <c r="AK53" i="3"/>
  <c r="AL53" i="3"/>
  <c r="AN53" i="3"/>
  <c r="AU53" i="3"/>
  <c r="AV53" i="3"/>
  <c r="CG53" i="3"/>
  <c r="DL53" i="3" s="1"/>
  <c r="CH53" i="3"/>
  <c r="CJ53" i="3"/>
  <c r="CK53" i="3"/>
  <c r="CU53" i="3"/>
  <c r="CV53" i="3"/>
  <c r="CW53" i="3"/>
  <c r="CZ53" i="3"/>
  <c r="DA53" i="3"/>
  <c r="DB53" i="3"/>
  <c r="DG53" i="3"/>
  <c r="DI53" i="3"/>
  <c r="DU53" i="3"/>
  <c r="DW53" i="3"/>
  <c r="DX53" i="3"/>
  <c r="DY53" i="3"/>
  <c r="EA53" i="3"/>
  <c r="EB53" i="3"/>
  <c r="EE53" i="3"/>
  <c r="EF53" i="3"/>
  <c r="EG53" i="3"/>
  <c r="AQ53" i="3" s="1"/>
  <c r="EH53" i="3"/>
  <c r="EO53" i="3" s="1"/>
  <c r="EI53" i="3"/>
  <c r="EJ53" i="3"/>
  <c r="EK53" i="3"/>
  <c r="EL53" i="3"/>
  <c r="EM53" i="3"/>
  <c r="AR53" i="3" s="1"/>
  <c r="EN53" i="3"/>
  <c r="S54" i="3"/>
  <c r="AF54" i="3"/>
  <c r="AG54" i="3"/>
  <c r="CX54" i="3" s="1"/>
  <c r="AH54" i="3"/>
  <c r="DH54" i="3" s="1"/>
  <c r="AI54" i="3"/>
  <c r="AJ54" i="3"/>
  <c r="AK54" i="3"/>
  <c r="AL54" i="3"/>
  <c r="AM54" i="3"/>
  <c r="AN54" i="3"/>
  <c r="AU54" i="3"/>
  <c r="AV54" i="3"/>
  <c r="CG54" i="3"/>
  <c r="CH54" i="3"/>
  <c r="CJ54" i="3"/>
  <c r="CK54" i="3"/>
  <c r="CU54" i="3"/>
  <c r="CV54" i="3"/>
  <c r="CW54" i="3"/>
  <c r="CZ54" i="3"/>
  <c r="DA54" i="3"/>
  <c r="DB54" i="3"/>
  <c r="DC54" i="3"/>
  <c r="DG54" i="3"/>
  <c r="DI54" i="3"/>
  <c r="DU54" i="3"/>
  <c r="DW54" i="3"/>
  <c r="DX54" i="3"/>
  <c r="DY54" i="3"/>
  <c r="EA54" i="3"/>
  <c r="EB54" i="3"/>
  <c r="EE54" i="3"/>
  <c r="EF54" i="3"/>
  <c r="EG54" i="3"/>
  <c r="EH54" i="3"/>
  <c r="EI54" i="3"/>
  <c r="EJ54" i="3"/>
  <c r="EK54" i="3"/>
  <c r="EL54" i="3"/>
  <c r="AO54" i="3" s="1"/>
  <c r="AP54" i="3" s="1"/>
  <c r="EM54" i="3"/>
  <c r="EN54" i="3"/>
  <c r="S55" i="3"/>
  <c r="AF55" i="3"/>
  <c r="AG55" i="3"/>
  <c r="CX55" i="3" s="1"/>
  <c r="AH55" i="3"/>
  <c r="DH55" i="3" s="1"/>
  <c r="AI55" i="3"/>
  <c r="AJ55" i="3"/>
  <c r="AK55" i="3"/>
  <c r="AL55" i="3"/>
  <c r="AN55" i="3"/>
  <c r="AU55" i="3"/>
  <c r="AV55" i="3"/>
  <c r="CG55" i="3"/>
  <c r="CH55" i="3"/>
  <c r="CJ55" i="3"/>
  <c r="CK55" i="3"/>
  <c r="CU55" i="3"/>
  <c r="CV55" i="3"/>
  <c r="CW55" i="3"/>
  <c r="CZ55" i="3"/>
  <c r="DA55" i="3"/>
  <c r="DB55" i="3"/>
  <c r="DC55" i="3"/>
  <c r="DG55" i="3"/>
  <c r="DI55" i="3"/>
  <c r="DU55" i="3"/>
  <c r="DW55" i="3"/>
  <c r="DX55" i="3"/>
  <c r="DY55" i="3"/>
  <c r="EA55" i="3"/>
  <c r="EB55" i="3"/>
  <c r="EE55" i="3"/>
  <c r="EF55" i="3"/>
  <c r="EG55" i="3"/>
  <c r="EH55" i="3"/>
  <c r="EI55" i="3"/>
  <c r="EJ55" i="3"/>
  <c r="EK55" i="3"/>
  <c r="AT55" i="3" s="1"/>
  <c r="EL55" i="3"/>
  <c r="EM55" i="3"/>
  <c r="EN55" i="3"/>
  <c r="S56" i="3"/>
  <c r="AF56" i="3"/>
  <c r="AG56" i="3"/>
  <c r="CX56" i="3" s="1"/>
  <c r="AH56" i="3"/>
  <c r="DH56" i="3" s="1"/>
  <c r="AI56" i="3"/>
  <c r="AJ56" i="3"/>
  <c r="AK56" i="3"/>
  <c r="AL56" i="3"/>
  <c r="AN56" i="3"/>
  <c r="AU56" i="3"/>
  <c r="AV56" i="3"/>
  <c r="CG56" i="3"/>
  <c r="CH56" i="3"/>
  <c r="CJ56" i="3"/>
  <c r="CK56" i="3"/>
  <c r="CU56" i="3"/>
  <c r="CV56" i="3"/>
  <c r="CW56" i="3"/>
  <c r="CZ56" i="3"/>
  <c r="DA56" i="3"/>
  <c r="DB56" i="3"/>
  <c r="DC56" i="3"/>
  <c r="DG56" i="3"/>
  <c r="DI56" i="3"/>
  <c r="DU56" i="3"/>
  <c r="DW56" i="3"/>
  <c r="DX56" i="3"/>
  <c r="DY56" i="3"/>
  <c r="EA56" i="3"/>
  <c r="EB56" i="3"/>
  <c r="EE56" i="3"/>
  <c r="EF56" i="3"/>
  <c r="EG56" i="3"/>
  <c r="EH56" i="3"/>
  <c r="EI56" i="3"/>
  <c r="EO56" i="3" s="1"/>
  <c r="EJ56" i="3"/>
  <c r="EK56" i="3"/>
  <c r="EL56" i="3"/>
  <c r="EM56" i="3"/>
  <c r="AO56" i="3"/>
  <c r="AP56" i="3" s="1"/>
  <c r="EN56" i="3"/>
  <c r="S57" i="3"/>
  <c r="AF57" i="3"/>
  <c r="AG57" i="3"/>
  <c r="CX57" i="3" s="1"/>
  <c r="AH57" i="3"/>
  <c r="DH57" i="3" s="1"/>
  <c r="AI57" i="3"/>
  <c r="AJ57" i="3"/>
  <c r="AK57" i="3"/>
  <c r="AL57" i="3"/>
  <c r="AN57" i="3"/>
  <c r="AU57" i="3"/>
  <c r="AV57" i="3"/>
  <c r="CG57" i="3"/>
  <c r="CH57" i="3"/>
  <c r="CI57" i="3"/>
  <c r="EC57" i="3"/>
  <c r="CJ57" i="3"/>
  <c r="CK57" i="3"/>
  <c r="CM57" i="3"/>
  <c r="CN57" i="3"/>
  <c r="CO57" i="3"/>
  <c r="CP57" i="3"/>
  <c r="CQ57" i="3"/>
  <c r="CR57" i="3"/>
  <c r="CS57" i="3"/>
  <c r="CT57" i="3"/>
  <c r="CU57" i="3"/>
  <c r="CV57" i="3"/>
  <c r="CW57" i="3"/>
  <c r="CY57" i="3"/>
  <c r="CZ57" i="3"/>
  <c r="DA57" i="3"/>
  <c r="DB57" i="3"/>
  <c r="DC57" i="3"/>
  <c r="DD57" i="3"/>
  <c r="DE57" i="3"/>
  <c r="DF57" i="3"/>
  <c r="DG57" i="3"/>
  <c r="DI57" i="3"/>
  <c r="DJ57" i="3"/>
  <c r="DM57" i="3"/>
  <c r="DN57" i="3"/>
  <c r="DO57" i="3"/>
  <c r="DP57" i="3"/>
  <c r="DQ57" i="3"/>
  <c r="DR57" i="3"/>
  <c r="DS57" i="3"/>
  <c r="DT57" i="3"/>
  <c r="DU57" i="3"/>
  <c r="DV57" i="3"/>
  <c r="DW57" i="3"/>
  <c r="DX57" i="3"/>
  <c r="DY57" i="3"/>
  <c r="EA57" i="3"/>
  <c r="EB57" i="3"/>
  <c r="EE57" i="3"/>
  <c r="EF57" i="3"/>
  <c r="EG57" i="3"/>
  <c r="AQ57" i="3" s="1"/>
  <c r="EH57" i="3"/>
  <c r="AS57" i="3" s="1"/>
  <c r="EI57" i="3"/>
  <c r="EJ57" i="3"/>
  <c r="EK57" i="3"/>
  <c r="EL57" i="3"/>
  <c r="EM57" i="3"/>
  <c r="EN57" i="3"/>
  <c r="S58" i="3"/>
  <c r="AF58" i="3"/>
  <c r="AG58" i="3"/>
  <c r="CX58" i="3" s="1"/>
  <c r="AH58" i="3"/>
  <c r="DH58" i="3" s="1"/>
  <c r="AI58" i="3"/>
  <c r="AJ58" i="3"/>
  <c r="AK58" i="3"/>
  <c r="AL58" i="3"/>
  <c r="AN58" i="3"/>
  <c r="AT58" i="3"/>
  <c r="AU58" i="3"/>
  <c r="AV58" i="3"/>
  <c r="CG58" i="3"/>
  <c r="CH58" i="3"/>
  <c r="CI58" i="3"/>
  <c r="CJ58" i="3"/>
  <c r="CK58" i="3"/>
  <c r="CM58" i="3"/>
  <c r="CN58" i="3"/>
  <c r="CO58" i="3"/>
  <c r="CP58" i="3"/>
  <c r="CQ58" i="3"/>
  <c r="CR58" i="3"/>
  <c r="CS58" i="3"/>
  <c r="CT58" i="3"/>
  <c r="CU58" i="3"/>
  <c r="CV58" i="3"/>
  <c r="CW58" i="3"/>
  <c r="CY58" i="3"/>
  <c r="CZ58" i="3"/>
  <c r="DA58" i="3"/>
  <c r="DB58" i="3"/>
  <c r="DC58" i="3"/>
  <c r="DD58" i="3"/>
  <c r="DE58" i="3"/>
  <c r="DF58" i="3"/>
  <c r="DG58" i="3"/>
  <c r="DI58" i="3"/>
  <c r="DJ58" i="3"/>
  <c r="DM58" i="3"/>
  <c r="DN58" i="3"/>
  <c r="DO58" i="3"/>
  <c r="DP58" i="3"/>
  <c r="DQ58" i="3"/>
  <c r="DR58" i="3"/>
  <c r="DS58" i="3"/>
  <c r="DT58" i="3"/>
  <c r="DU58" i="3"/>
  <c r="DV58" i="3"/>
  <c r="DW58" i="3"/>
  <c r="DX58" i="3"/>
  <c r="DY58" i="3"/>
  <c r="EA58" i="3"/>
  <c r="EB58" i="3"/>
  <c r="EE58" i="3"/>
  <c r="EF58" i="3"/>
  <c r="EG58" i="3"/>
  <c r="EH58" i="3"/>
  <c r="EO58" i="3" s="1"/>
  <c r="EI58" i="3"/>
  <c r="EJ58" i="3"/>
  <c r="EK58" i="3"/>
  <c r="DZ58" i="3" s="1"/>
  <c r="EL58" i="3"/>
  <c r="EM58" i="3"/>
  <c r="EN58" i="3"/>
  <c r="S59" i="3"/>
  <c r="AF59" i="3"/>
  <c r="AG59" i="3"/>
  <c r="CX59" i="3"/>
  <c r="AH59" i="3"/>
  <c r="AI59" i="3"/>
  <c r="AJ59" i="3"/>
  <c r="AK59" i="3"/>
  <c r="AL59" i="3"/>
  <c r="AN59" i="3"/>
  <c r="AU59" i="3"/>
  <c r="AV59" i="3"/>
  <c r="CG59" i="3"/>
  <c r="CH59" i="3"/>
  <c r="EC59" i="3"/>
  <c r="CI59" i="3"/>
  <c r="CJ59" i="3"/>
  <c r="CK59" i="3"/>
  <c r="CM59" i="3"/>
  <c r="CN59" i="3"/>
  <c r="CO59" i="3"/>
  <c r="CP59" i="3"/>
  <c r="CQ59" i="3"/>
  <c r="CR59" i="3"/>
  <c r="CS59" i="3"/>
  <c r="CT59" i="3"/>
  <c r="CU59" i="3"/>
  <c r="CV59" i="3"/>
  <c r="CW59" i="3"/>
  <c r="CY59" i="3"/>
  <c r="CZ59" i="3"/>
  <c r="DA59" i="3"/>
  <c r="DB59" i="3"/>
  <c r="DC59" i="3"/>
  <c r="DD59" i="3"/>
  <c r="DE59" i="3"/>
  <c r="DF59" i="3"/>
  <c r="DG59" i="3"/>
  <c r="DH59" i="3"/>
  <c r="DI59" i="3"/>
  <c r="DJ59" i="3"/>
  <c r="DM59" i="3"/>
  <c r="DN59" i="3"/>
  <c r="DO59" i="3"/>
  <c r="DP59" i="3"/>
  <c r="DQ59" i="3"/>
  <c r="DR59" i="3"/>
  <c r="DS59" i="3"/>
  <c r="DT59" i="3"/>
  <c r="DU59" i="3"/>
  <c r="DV59" i="3"/>
  <c r="DW59" i="3"/>
  <c r="DX59" i="3"/>
  <c r="DY59" i="3"/>
  <c r="EA59" i="3"/>
  <c r="EB59" i="3"/>
  <c r="EE59" i="3"/>
  <c r="EF59" i="3"/>
  <c r="EG59" i="3"/>
  <c r="EH59" i="3"/>
  <c r="EI59" i="3"/>
  <c r="EJ59" i="3"/>
  <c r="EK59" i="3"/>
  <c r="DZ59" i="3" s="1"/>
  <c r="EL59" i="3"/>
  <c r="AR59" i="3" s="1"/>
  <c r="EM59" i="3"/>
  <c r="EN59" i="3"/>
  <c r="S60" i="3"/>
  <c r="AF60" i="3"/>
  <c r="AG60" i="3"/>
  <c r="CX60" i="3"/>
  <c r="AH60" i="3"/>
  <c r="AI60" i="3"/>
  <c r="AJ60" i="3"/>
  <c r="AK60" i="3"/>
  <c r="AL60" i="3"/>
  <c r="AN60" i="3"/>
  <c r="AU60" i="3"/>
  <c r="AV60" i="3"/>
  <c r="CH60" i="3"/>
  <c r="EC60" i="3" s="1"/>
  <c r="CI60" i="3"/>
  <c r="CJ60" i="3"/>
  <c r="CK60" i="3"/>
  <c r="CM60" i="3"/>
  <c r="CN60" i="3"/>
  <c r="CO60" i="3"/>
  <c r="CP60" i="3"/>
  <c r="CQ60" i="3"/>
  <c r="CR60" i="3"/>
  <c r="CS60" i="3"/>
  <c r="CT60" i="3"/>
  <c r="CU60" i="3"/>
  <c r="CV60" i="3"/>
  <c r="CW60" i="3"/>
  <c r="CY60" i="3"/>
  <c r="CZ60" i="3"/>
  <c r="DA60" i="3"/>
  <c r="DB60" i="3"/>
  <c r="DC60" i="3"/>
  <c r="DD60" i="3"/>
  <c r="DE60" i="3"/>
  <c r="DF60" i="3"/>
  <c r="DG60" i="3"/>
  <c r="DH60" i="3"/>
  <c r="DI60" i="3"/>
  <c r="DJ60" i="3"/>
  <c r="DK60" i="3"/>
  <c r="DL60" i="3"/>
  <c r="DM60" i="3"/>
  <c r="DN60" i="3"/>
  <c r="DO60" i="3"/>
  <c r="DP60" i="3"/>
  <c r="DQ60" i="3"/>
  <c r="DR60" i="3"/>
  <c r="DS60" i="3"/>
  <c r="DT60" i="3"/>
  <c r="DU60" i="3"/>
  <c r="DV60" i="3"/>
  <c r="DW60" i="3"/>
  <c r="DX60" i="3"/>
  <c r="DY60" i="3"/>
  <c r="EA60" i="3"/>
  <c r="EB60" i="3"/>
  <c r="EE60" i="3"/>
  <c r="EF60" i="3"/>
  <c r="EO60" i="3" s="1"/>
  <c r="EG60" i="3"/>
  <c r="EH60" i="3"/>
  <c r="EI60" i="3"/>
  <c r="EJ60" i="3"/>
  <c r="EK60" i="3"/>
  <c r="EL60" i="3"/>
  <c r="EM60" i="3"/>
  <c r="AS60" i="3" s="1"/>
  <c r="EN60" i="3"/>
  <c r="S61" i="3"/>
  <c r="AF61" i="3"/>
  <c r="AG61" i="3"/>
  <c r="AH61" i="3"/>
  <c r="DH61" i="3" s="1"/>
  <c r="AI61" i="3"/>
  <c r="AJ61" i="3"/>
  <c r="AK61" i="3"/>
  <c r="AL61" i="3"/>
  <c r="AN61" i="3"/>
  <c r="AU61" i="3"/>
  <c r="AV61" i="3"/>
  <c r="CH61" i="3"/>
  <c r="EC61" i="3"/>
  <c r="CI61" i="3"/>
  <c r="CJ61" i="3"/>
  <c r="CK61" i="3"/>
  <c r="DL61" i="3" s="1"/>
  <c r="CM61" i="3"/>
  <c r="CN61" i="3"/>
  <c r="CO61" i="3"/>
  <c r="CP61" i="3"/>
  <c r="CQ61" i="3"/>
  <c r="CR61" i="3"/>
  <c r="CS61" i="3"/>
  <c r="CT61" i="3"/>
  <c r="CU61" i="3"/>
  <c r="CV61" i="3"/>
  <c r="CW61" i="3"/>
  <c r="CX61" i="3"/>
  <c r="CY61" i="3"/>
  <c r="CZ61" i="3"/>
  <c r="DA61" i="3"/>
  <c r="DB61" i="3"/>
  <c r="DC61" i="3"/>
  <c r="DD61" i="3"/>
  <c r="DE61" i="3"/>
  <c r="DF61" i="3"/>
  <c r="DG61" i="3"/>
  <c r="DI61" i="3"/>
  <c r="DJ61" i="3"/>
  <c r="DK61" i="3"/>
  <c r="DM61" i="3"/>
  <c r="DN61" i="3"/>
  <c r="DO61" i="3"/>
  <c r="DP61" i="3"/>
  <c r="DQ61" i="3"/>
  <c r="DR61" i="3"/>
  <c r="DS61" i="3"/>
  <c r="DT61" i="3"/>
  <c r="DU61" i="3"/>
  <c r="DV61" i="3"/>
  <c r="DW61" i="3"/>
  <c r="DX61" i="3"/>
  <c r="DY61" i="3"/>
  <c r="EA61" i="3"/>
  <c r="EB61" i="3"/>
  <c r="EE61" i="3"/>
  <c r="EF61" i="3"/>
  <c r="EG61" i="3"/>
  <c r="EH61" i="3"/>
  <c r="EI61" i="3"/>
  <c r="EJ61" i="3"/>
  <c r="EK61" i="3"/>
  <c r="DZ61" i="3" s="1"/>
  <c r="EL61" i="3"/>
  <c r="EM61" i="3"/>
  <c r="EN61" i="3"/>
  <c r="S62" i="3"/>
  <c r="AF62" i="3"/>
  <c r="AG62" i="3"/>
  <c r="CX62" i="3" s="1"/>
  <c r="AH62" i="3"/>
  <c r="AI62" i="3"/>
  <c r="AJ62" i="3"/>
  <c r="AK62" i="3"/>
  <c r="AL62" i="3"/>
  <c r="AN62" i="3"/>
  <c r="AU62" i="3"/>
  <c r="AV62" i="3"/>
  <c r="CH62" i="3"/>
  <c r="CI62" i="3"/>
  <c r="EC62" i="3"/>
  <c r="CJ62" i="3"/>
  <c r="CK62" i="3"/>
  <c r="DL62" i="3" s="1"/>
  <c r="CM62" i="3"/>
  <c r="CN62" i="3"/>
  <c r="CO62" i="3"/>
  <c r="CP62" i="3"/>
  <c r="CQ62" i="3"/>
  <c r="CR62" i="3"/>
  <c r="CS62" i="3"/>
  <c r="CT62" i="3"/>
  <c r="CU62" i="3"/>
  <c r="CV62" i="3"/>
  <c r="CW62" i="3"/>
  <c r="CY62" i="3"/>
  <c r="CZ62" i="3"/>
  <c r="DA62" i="3"/>
  <c r="DB62" i="3"/>
  <c r="DC62" i="3"/>
  <c r="DD62" i="3"/>
  <c r="DE62" i="3"/>
  <c r="DF62" i="3"/>
  <c r="DG62" i="3"/>
  <c r="DH62" i="3"/>
  <c r="DI62" i="3"/>
  <c r="DJ62" i="3"/>
  <c r="DK62" i="3"/>
  <c r="DM62" i="3"/>
  <c r="DN62" i="3"/>
  <c r="DO62" i="3"/>
  <c r="DP62" i="3"/>
  <c r="DQ62" i="3"/>
  <c r="DR62" i="3"/>
  <c r="DS62" i="3"/>
  <c r="DT62" i="3"/>
  <c r="DU62" i="3"/>
  <c r="DV62" i="3"/>
  <c r="DW62" i="3"/>
  <c r="DX62" i="3"/>
  <c r="DY62" i="3"/>
  <c r="DZ62" i="3"/>
  <c r="EA62" i="3"/>
  <c r="EB62" i="3"/>
  <c r="EE62" i="3"/>
  <c r="EF62" i="3"/>
  <c r="EG62" i="3"/>
  <c r="EH62" i="3"/>
  <c r="AS62" i="3" s="1"/>
  <c r="EI62" i="3"/>
  <c r="EJ62" i="3"/>
  <c r="EK62" i="3"/>
  <c r="AM62" i="3" s="1"/>
  <c r="EL62" i="3"/>
  <c r="EM62" i="3"/>
  <c r="EN62" i="3"/>
  <c r="S63" i="3"/>
  <c r="AF63" i="3"/>
  <c r="AG63" i="3"/>
  <c r="CX63" i="3" s="1"/>
  <c r="AH63" i="3"/>
  <c r="DH63" i="3" s="1"/>
  <c r="AI63" i="3"/>
  <c r="AJ63" i="3"/>
  <c r="AK63" i="3"/>
  <c r="AL63" i="3"/>
  <c r="AN63" i="3"/>
  <c r="AO63" i="3"/>
  <c r="AP63" i="3" s="1"/>
  <c r="AR63" i="3"/>
  <c r="AS63" i="3"/>
  <c r="AU63" i="3"/>
  <c r="AV63" i="3"/>
  <c r="CH63" i="3"/>
  <c r="CI63" i="3"/>
  <c r="EC63" i="3" s="1"/>
  <c r="CJ63" i="3"/>
  <c r="CK63" i="3"/>
  <c r="DL63" i="3" s="1"/>
  <c r="CM63" i="3"/>
  <c r="CN63" i="3"/>
  <c r="CO63" i="3"/>
  <c r="CP63" i="3"/>
  <c r="CQ63" i="3"/>
  <c r="CR63" i="3"/>
  <c r="CS63" i="3"/>
  <c r="CT63" i="3"/>
  <c r="DK63" i="3" s="1"/>
  <c r="CU63" i="3"/>
  <c r="CV63" i="3"/>
  <c r="CW63" i="3"/>
  <c r="CY63" i="3"/>
  <c r="CZ63" i="3"/>
  <c r="DA63" i="3"/>
  <c r="DB63" i="3"/>
  <c r="DC63" i="3"/>
  <c r="DD63" i="3"/>
  <c r="DE63" i="3"/>
  <c r="DF63" i="3"/>
  <c r="DG63" i="3"/>
  <c r="DI63" i="3"/>
  <c r="DJ63" i="3"/>
  <c r="DM63" i="3"/>
  <c r="DN63" i="3"/>
  <c r="DO63" i="3"/>
  <c r="DP63" i="3"/>
  <c r="DQ63" i="3"/>
  <c r="DR63" i="3"/>
  <c r="DS63" i="3"/>
  <c r="DT63" i="3"/>
  <c r="DU63" i="3"/>
  <c r="DV63" i="3"/>
  <c r="DW63" i="3"/>
  <c r="DX63" i="3"/>
  <c r="DY63" i="3"/>
  <c r="DZ63" i="3"/>
  <c r="EA63" i="3"/>
  <c r="EB63" i="3"/>
  <c r="EE63" i="3"/>
  <c r="EF63" i="3"/>
  <c r="EG63" i="3"/>
  <c r="EH63" i="3"/>
  <c r="EI63" i="3"/>
  <c r="EJ63" i="3"/>
  <c r="EO63" i="3" s="1"/>
  <c r="EK63" i="3"/>
  <c r="AM63" i="3" s="1"/>
  <c r="EL63" i="3"/>
  <c r="EM63" i="3"/>
  <c r="EN63" i="3"/>
  <c r="S64" i="3"/>
  <c r="AF64" i="3"/>
  <c r="AG64" i="3"/>
  <c r="CX64" i="3" s="1"/>
  <c r="AH64" i="3"/>
  <c r="DH64" i="3"/>
  <c r="AI64" i="3"/>
  <c r="AJ64" i="3"/>
  <c r="AK64" i="3"/>
  <c r="AL64" i="3"/>
  <c r="AN64" i="3"/>
  <c r="AU64" i="3"/>
  <c r="AV64" i="3"/>
  <c r="CH64" i="3"/>
  <c r="CI64" i="3"/>
  <c r="EC64" i="3" s="1"/>
  <c r="CJ64" i="3"/>
  <c r="CK64" i="3"/>
  <c r="DL64" i="3" s="1"/>
  <c r="CM64" i="3"/>
  <c r="CN64" i="3"/>
  <c r="CO64" i="3"/>
  <c r="CP64" i="3"/>
  <c r="CQ64" i="3"/>
  <c r="CR64" i="3"/>
  <c r="CS64" i="3"/>
  <c r="CT64" i="3"/>
  <c r="CU64" i="3"/>
  <c r="CV64" i="3"/>
  <c r="CW64" i="3"/>
  <c r="CY64" i="3"/>
  <c r="CZ64" i="3"/>
  <c r="DA64" i="3"/>
  <c r="DB64" i="3"/>
  <c r="DC64" i="3"/>
  <c r="DD64" i="3"/>
  <c r="DE64" i="3"/>
  <c r="DF64" i="3"/>
  <c r="DG64" i="3"/>
  <c r="DI64" i="3"/>
  <c r="DJ64" i="3"/>
  <c r="DK64" i="3"/>
  <c r="DM64" i="3"/>
  <c r="DN64" i="3"/>
  <c r="DO64" i="3"/>
  <c r="DP64" i="3"/>
  <c r="DQ64" i="3"/>
  <c r="DR64" i="3"/>
  <c r="DS64" i="3"/>
  <c r="DT64" i="3"/>
  <c r="DU64" i="3"/>
  <c r="DV64" i="3"/>
  <c r="DW64" i="3"/>
  <c r="DX64" i="3"/>
  <c r="DY64" i="3"/>
  <c r="DZ64" i="3"/>
  <c r="EA64" i="3"/>
  <c r="EB64" i="3"/>
  <c r="EE64" i="3"/>
  <c r="EF64" i="3"/>
  <c r="EG64" i="3"/>
  <c r="EH64" i="3"/>
  <c r="EI64" i="3"/>
  <c r="EJ64" i="3"/>
  <c r="EK64" i="3"/>
  <c r="EL64" i="3"/>
  <c r="AR64" i="3" s="1"/>
  <c r="EM64" i="3"/>
  <c r="EN64" i="3"/>
  <c r="S65" i="3"/>
  <c r="AF65" i="3"/>
  <c r="AG65" i="3"/>
  <c r="CX65" i="3" s="1"/>
  <c r="AH65" i="3"/>
  <c r="DH65" i="3" s="1"/>
  <c r="AI65" i="3"/>
  <c r="AJ65" i="3"/>
  <c r="AK65" i="3"/>
  <c r="AL65" i="3"/>
  <c r="AM65" i="3"/>
  <c r="AN65" i="3"/>
  <c r="AU65" i="3"/>
  <c r="AV65" i="3"/>
  <c r="CH65" i="3"/>
  <c r="EC65" i="3" s="1"/>
  <c r="CI65" i="3"/>
  <c r="CJ65" i="3"/>
  <c r="CK65" i="3"/>
  <c r="DL65" i="3" s="1"/>
  <c r="CM65" i="3"/>
  <c r="CN65" i="3"/>
  <c r="CO65" i="3"/>
  <c r="CP65" i="3"/>
  <c r="CQ65" i="3"/>
  <c r="CR65" i="3"/>
  <c r="CS65" i="3"/>
  <c r="CT65" i="3"/>
  <c r="DK65" i="3"/>
  <c r="CU65" i="3"/>
  <c r="CV65" i="3"/>
  <c r="CW65" i="3"/>
  <c r="CY65" i="3"/>
  <c r="CZ65" i="3"/>
  <c r="DA65" i="3"/>
  <c r="DB65" i="3"/>
  <c r="DC65" i="3"/>
  <c r="DD65" i="3"/>
  <c r="DE65" i="3"/>
  <c r="DF65" i="3"/>
  <c r="DG65" i="3"/>
  <c r="DI65" i="3"/>
  <c r="DJ65" i="3"/>
  <c r="DM65" i="3"/>
  <c r="DN65" i="3"/>
  <c r="DO65" i="3"/>
  <c r="DP65" i="3"/>
  <c r="DQ65" i="3"/>
  <c r="DR65" i="3"/>
  <c r="DS65" i="3"/>
  <c r="DT65" i="3"/>
  <c r="DU65" i="3"/>
  <c r="DV65" i="3"/>
  <c r="DW65" i="3"/>
  <c r="DX65" i="3"/>
  <c r="DY65" i="3"/>
  <c r="DZ65" i="3"/>
  <c r="EA65" i="3"/>
  <c r="EB65" i="3"/>
  <c r="EE65" i="3"/>
  <c r="EF65" i="3"/>
  <c r="EG65" i="3"/>
  <c r="AQ65" i="3" s="1"/>
  <c r="EH65" i="3"/>
  <c r="EI65" i="3"/>
  <c r="EJ65" i="3"/>
  <c r="AT65" i="3" s="1"/>
  <c r="EK65" i="3"/>
  <c r="EL65" i="3"/>
  <c r="AR65" i="3" s="1"/>
  <c r="EM65" i="3"/>
  <c r="EN65" i="3"/>
  <c r="S66" i="3"/>
  <c r="AF66" i="3"/>
  <c r="AG66" i="3"/>
  <c r="CX66" i="3"/>
  <c r="AH66" i="3"/>
  <c r="AI66" i="3"/>
  <c r="AJ66" i="3"/>
  <c r="AK66" i="3"/>
  <c r="AL66" i="3"/>
  <c r="AN66" i="3"/>
  <c r="AU66" i="3"/>
  <c r="AV66" i="3"/>
  <c r="CH66" i="3"/>
  <c r="CI66" i="3"/>
  <c r="EC66" i="3"/>
  <c r="CJ66" i="3"/>
  <c r="CK66" i="3"/>
  <c r="DL66" i="3" s="1"/>
  <c r="CM66" i="3"/>
  <c r="CN66" i="3"/>
  <c r="CO66" i="3"/>
  <c r="CP66" i="3"/>
  <c r="CQ66" i="3"/>
  <c r="CR66" i="3"/>
  <c r="CS66" i="3"/>
  <c r="CT66" i="3"/>
  <c r="DK66" i="3"/>
  <c r="CU66" i="3"/>
  <c r="CV66" i="3"/>
  <c r="CW66" i="3"/>
  <c r="CY66" i="3"/>
  <c r="CZ66" i="3"/>
  <c r="DA66" i="3"/>
  <c r="DB66" i="3"/>
  <c r="DC66" i="3"/>
  <c r="DD66" i="3"/>
  <c r="DE66" i="3"/>
  <c r="DF66" i="3"/>
  <c r="DG66" i="3"/>
  <c r="DH66" i="3"/>
  <c r="DI66" i="3"/>
  <c r="DJ66" i="3"/>
  <c r="DM66" i="3"/>
  <c r="DN66" i="3"/>
  <c r="DO66" i="3"/>
  <c r="DP66" i="3"/>
  <c r="DQ66" i="3"/>
  <c r="DR66" i="3"/>
  <c r="DS66" i="3"/>
  <c r="DT66" i="3"/>
  <c r="DU66" i="3"/>
  <c r="DV66" i="3"/>
  <c r="DW66" i="3"/>
  <c r="DX66" i="3"/>
  <c r="DY66" i="3"/>
  <c r="EA66" i="3"/>
  <c r="EB66" i="3"/>
  <c r="EE66" i="3"/>
  <c r="EF66" i="3"/>
  <c r="EG66" i="3"/>
  <c r="EH66" i="3"/>
  <c r="EI66" i="3"/>
  <c r="EJ66" i="3"/>
  <c r="EK66" i="3"/>
  <c r="DZ66" i="3" s="1"/>
  <c r="EL66" i="3"/>
  <c r="AO66" i="3" s="1"/>
  <c r="AP66" i="3" s="1"/>
  <c r="EM66" i="3"/>
  <c r="EN66" i="3"/>
  <c r="S67" i="3"/>
  <c r="AF67" i="3"/>
  <c r="AG67" i="3"/>
  <c r="AH67" i="3"/>
  <c r="DH67" i="3" s="1"/>
  <c r="AI67" i="3"/>
  <c r="AJ67" i="3"/>
  <c r="AK67" i="3"/>
  <c r="AL67" i="3"/>
  <c r="AN67" i="3"/>
  <c r="AU67" i="3"/>
  <c r="AV67" i="3"/>
  <c r="CH67" i="3"/>
  <c r="EC67" i="3" s="1"/>
  <c r="CI67" i="3"/>
  <c r="CJ67" i="3"/>
  <c r="CK67" i="3"/>
  <c r="DL67" i="3"/>
  <c r="CM67" i="3"/>
  <c r="CN67" i="3"/>
  <c r="CO67" i="3"/>
  <c r="CP67" i="3"/>
  <c r="CQ67" i="3"/>
  <c r="CR67" i="3"/>
  <c r="CS67" i="3"/>
  <c r="CT67" i="3"/>
  <c r="CU67" i="3"/>
  <c r="CV67" i="3"/>
  <c r="CW67" i="3"/>
  <c r="CX67" i="3"/>
  <c r="CY67" i="3"/>
  <c r="CZ67" i="3"/>
  <c r="DA67" i="3"/>
  <c r="DB67" i="3"/>
  <c r="DC67" i="3"/>
  <c r="DD67" i="3"/>
  <c r="DE67" i="3"/>
  <c r="DF67" i="3"/>
  <c r="DG67" i="3"/>
  <c r="DI67" i="3"/>
  <c r="DJ67" i="3"/>
  <c r="DK67" i="3"/>
  <c r="DM67" i="3"/>
  <c r="DN67" i="3"/>
  <c r="DO67" i="3"/>
  <c r="DP67" i="3"/>
  <c r="DQ67" i="3"/>
  <c r="DR67" i="3"/>
  <c r="DS67" i="3"/>
  <c r="DT67" i="3"/>
  <c r="DU67" i="3"/>
  <c r="DV67" i="3"/>
  <c r="DW67" i="3"/>
  <c r="DX67" i="3"/>
  <c r="DY67" i="3"/>
  <c r="EA67" i="3"/>
  <c r="EB67" i="3"/>
  <c r="EE67" i="3"/>
  <c r="AS67" i="3" s="1"/>
  <c r="EF67" i="3"/>
  <c r="EG67" i="3"/>
  <c r="EH67" i="3"/>
  <c r="EI67" i="3"/>
  <c r="EJ67" i="3"/>
  <c r="EK67" i="3"/>
  <c r="DZ67" i="3" s="1"/>
  <c r="EL67" i="3"/>
  <c r="AR67" i="3" s="1"/>
  <c r="EM67" i="3"/>
  <c r="EN67" i="3"/>
  <c r="S68" i="3"/>
  <c r="AF68" i="3"/>
  <c r="AG68" i="3"/>
  <c r="CX68" i="3"/>
  <c r="AH68" i="3"/>
  <c r="AI68" i="3"/>
  <c r="AJ68" i="3"/>
  <c r="AK68" i="3"/>
  <c r="AL68" i="3"/>
  <c r="AN68" i="3"/>
  <c r="AU68" i="3"/>
  <c r="AV68" i="3"/>
  <c r="CI68" i="3"/>
  <c r="EC68" i="3" s="1"/>
  <c r="CJ68" i="3"/>
  <c r="CK68" i="3"/>
  <c r="DL68" i="3" s="1"/>
  <c r="CM68" i="3"/>
  <c r="CN68" i="3"/>
  <c r="CO68" i="3"/>
  <c r="CP68" i="3"/>
  <c r="CQ68" i="3"/>
  <c r="CR68" i="3"/>
  <c r="CS68" i="3"/>
  <c r="CT68" i="3"/>
  <c r="CU68" i="3"/>
  <c r="CV68" i="3"/>
  <c r="CW68" i="3"/>
  <c r="CY68" i="3"/>
  <c r="CZ68" i="3"/>
  <c r="DA68" i="3"/>
  <c r="DB68" i="3"/>
  <c r="DC68" i="3"/>
  <c r="DD68" i="3"/>
  <c r="DE68" i="3"/>
  <c r="DF68" i="3"/>
  <c r="DG68" i="3"/>
  <c r="DH68" i="3"/>
  <c r="DI68" i="3"/>
  <c r="DJ68" i="3"/>
  <c r="DK68" i="3"/>
  <c r="DM68" i="3"/>
  <c r="DN68" i="3"/>
  <c r="DO68" i="3"/>
  <c r="DP68" i="3"/>
  <c r="DQ68" i="3"/>
  <c r="DR68" i="3"/>
  <c r="DS68" i="3"/>
  <c r="DT68" i="3"/>
  <c r="DU68" i="3"/>
  <c r="DV68" i="3"/>
  <c r="DW68" i="3"/>
  <c r="DX68" i="3"/>
  <c r="DY68" i="3"/>
  <c r="EA68" i="3"/>
  <c r="EB68" i="3"/>
  <c r="EE68" i="3"/>
  <c r="EF68" i="3"/>
  <c r="EG68" i="3"/>
  <c r="EH68" i="3"/>
  <c r="EI68" i="3"/>
  <c r="EJ68" i="3"/>
  <c r="AT68" i="3" s="1"/>
  <c r="EK68" i="3"/>
  <c r="EL68" i="3"/>
  <c r="EM68" i="3"/>
  <c r="EN68" i="3"/>
  <c r="S69" i="3"/>
  <c r="AF69" i="3"/>
  <c r="AG69" i="3"/>
  <c r="CX69" i="3"/>
  <c r="AH69" i="3"/>
  <c r="DH69" i="3" s="1"/>
  <c r="AI69" i="3"/>
  <c r="AJ69" i="3"/>
  <c r="AK69" i="3"/>
  <c r="AL69" i="3"/>
  <c r="AN69" i="3"/>
  <c r="AU69" i="3"/>
  <c r="AV69" i="3"/>
  <c r="CH69" i="3"/>
  <c r="CI69" i="3"/>
  <c r="CJ69" i="3"/>
  <c r="CK69" i="3"/>
  <c r="CM69" i="3"/>
  <c r="CN69" i="3"/>
  <c r="CO69" i="3"/>
  <c r="CP69" i="3"/>
  <c r="CQ69" i="3"/>
  <c r="CR69" i="3"/>
  <c r="CS69" i="3"/>
  <c r="CT69" i="3"/>
  <c r="DK69" i="3" s="1"/>
  <c r="CU69" i="3"/>
  <c r="CV69" i="3"/>
  <c r="CW69" i="3"/>
  <c r="CY69" i="3"/>
  <c r="CZ69" i="3"/>
  <c r="DA69" i="3"/>
  <c r="DB69" i="3"/>
  <c r="DC69" i="3"/>
  <c r="DD69" i="3"/>
  <c r="DE69" i="3"/>
  <c r="DF69" i="3"/>
  <c r="DG69" i="3"/>
  <c r="DI69" i="3"/>
  <c r="DJ69" i="3"/>
  <c r="DL69" i="3"/>
  <c r="DM69" i="3"/>
  <c r="DN69" i="3"/>
  <c r="DO69" i="3"/>
  <c r="DP69" i="3"/>
  <c r="DQ69" i="3"/>
  <c r="DR69" i="3"/>
  <c r="DS69" i="3"/>
  <c r="DT69" i="3"/>
  <c r="DU69" i="3"/>
  <c r="DV69" i="3"/>
  <c r="DW69" i="3"/>
  <c r="DX69" i="3"/>
  <c r="DY69" i="3"/>
  <c r="EA69" i="3"/>
  <c r="EB69" i="3"/>
  <c r="EC69" i="3"/>
  <c r="EE69" i="3"/>
  <c r="EF69" i="3"/>
  <c r="EG69" i="3"/>
  <c r="AQ69" i="3" s="1"/>
  <c r="EH69" i="3"/>
  <c r="EI69" i="3"/>
  <c r="EJ69" i="3"/>
  <c r="EK69" i="3"/>
  <c r="AM69" i="3" s="1"/>
  <c r="DZ69" i="3"/>
  <c r="EL69" i="3"/>
  <c r="EM69" i="3"/>
  <c r="EN69" i="3"/>
  <c r="S70" i="3"/>
  <c r="AF70" i="3"/>
  <c r="AG70" i="3"/>
  <c r="CX70" i="3" s="1"/>
  <c r="AH70" i="3"/>
  <c r="AI70" i="3"/>
  <c r="AJ70" i="3"/>
  <c r="AK70" i="3"/>
  <c r="AL70" i="3"/>
  <c r="AN70" i="3"/>
  <c r="AU70" i="3"/>
  <c r="AV70" i="3"/>
  <c r="CH70" i="3"/>
  <c r="CI70" i="3"/>
  <c r="CJ70" i="3"/>
  <c r="CK70" i="3"/>
  <c r="CM70" i="3"/>
  <c r="CN70" i="3"/>
  <c r="CO70" i="3"/>
  <c r="CP70" i="3"/>
  <c r="CQ70" i="3"/>
  <c r="CR70" i="3"/>
  <c r="CS70" i="3"/>
  <c r="CT70" i="3"/>
  <c r="CU70" i="3"/>
  <c r="CV70" i="3"/>
  <c r="CW70" i="3"/>
  <c r="CY70" i="3"/>
  <c r="CZ70" i="3"/>
  <c r="DA70" i="3"/>
  <c r="DB70" i="3"/>
  <c r="DC70" i="3"/>
  <c r="DD70" i="3"/>
  <c r="DE70" i="3"/>
  <c r="DF70" i="3"/>
  <c r="DG70" i="3"/>
  <c r="DH70" i="3"/>
  <c r="DI70" i="3"/>
  <c r="DJ70" i="3"/>
  <c r="DK70" i="3"/>
  <c r="DL70" i="3"/>
  <c r="DM70" i="3"/>
  <c r="DN70" i="3"/>
  <c r="DO70" i="3"/>
  <c r="DP70" i="3"/>
  <c r="DQ70" i="3"/>
  <c r="DR70" i="3"/>
  <c r="DS70" i="3"/>
  <c r="DT70" i="3"/>
  <c r="DU70" i="3"/>
  <c r="DV70" i="3"/>
  <c r="DW70" i="3"/>
  <c r="DX70" i="3"/>
  <c r="DY70" i="3"/>
  <c r="EA70" i="3"/>
  <c r="EB70" i="3"/>
  <c r="EE70" i="3"/>
  <c r="EF70" i="3"/>
  <c r="EG70" i="3"/>
  <c r="EH70" i="3"/>
  <c r="EI70" i="3"/>
  <c r="EJ70" i="3"/>
  <c r="EK70" i="3"/>
  <c r="EL70" i="3"/>
  <c r="EM70" i="3"/>
  <c r="EN70" i="3"/>
  <c r="EO70" i="3" s="1"/>
  <c r="S71" i="3"/>
  <c r="AF71" i="3"/>
  <c r="AG71" i="3"/>
  <c r="AH71" i="3"/>
  <c r="AI71" i="3"/>
  <c r="AJ71" i="3"/>
  <c r="AK71" i="3"/>
  <c r="AL71" i="3"/>
  <c r="AN71" i="3"/>
  <c r="AU71" i="3"/>
  <c r="AV71" i="3"/>
  <c r="CG71" i="3"/>
  <c r="DK71" i="3"/>
  <c r="CH71" i="3"/>
  <c r="EC71" i="3" s="1"/>
  <c r="CI71" i="3"/>
  <c r="CJ71" i="3"/>
  <c r="CK71" i="3"/>
  <c r="CM71" i="3"/>
  <c r="CN71" i="3"/>
  <c r="CO71" i="3"/>
  <c r="CP71" i="3"/>
  <c r="CQ71" i="3"/>
  <c r="CR71" i="3"/>
  <c r="CS71" i="3"/>
  <c r="CT71" i="3"/>
  <c r="CU71" i="3"/>
  <c r="CV71" i="3"/>
  <c r="CW71" i="3"/>
  <c r="CX71" i="3"/>
  <c r="CY71" i="3"/>
  <c r="CZ71" i="3"/>
  <c r="DA71" i="3"/>
  <c r="DB71" i="3"/>
  <c r="DC71" i="3"/>
  <c r="DD71" i="3"/>
  <c r="DE71" i="3"/>
  <c r="DF71" i="3"/>
  <c r="DG71" i="3"/>
  <c r="DH71" i="3"/>
  <c r="DI71" i="3"/>
  <c r="DJ71" i="3"/>
  <c r="DM71" i="3"/>
  <c r="DN71" i="3"/>
  <c r="DO71" i="3"/>
  <c r="DP71" i="3"/>
  <c r="DQ71" i="3"/>
  <c r="DR71" i="3"/>
  <c r="DS71" i="3"/>
  <c r="DT71" i="3"/>
  <c r="DU71" i="3"/>
  <c r="DV71" i="3"/>
  <c r="DW71" i="3"/>
  <c r="DX71" i="3"/>
  <c r="DY71" i="3"/>
  <c r="EA71" i="3"/>
  <c r="EB71" i="3"/>
  <c r="EE71" i="3"/>
  <c r="EF71" i="3"/>
  <c r="EG71" i="3"/>
  <c r="EH71" i="3"/>
  <c r="EI71" i="3"/>
  <c r="EJ71" i="3"/>
  <c r="EK71" i="3"/>
  <c r="DZ71" i="3" s="1"/>
  <c r="AM71" i="3"/>
  <c r="EL71" i="3"/>
  <c r="AR71" i="3" s="1"/>
  <c r="EM71" i="3"/>
  <c r="EN71" i="3"/>
  <c r="S72" i="3"/>
  <c r="AF72" i="3"/>
  <c r="AG72" i="3"/>
  <c r="CX72" i="3"/>
  <c r="AH72" i="3"/>
  <c r="DH72" i="3" s="1"/>
  <c r="AI72" i="3"/>
  <c r="AJ72" i="3"/>
  <c r="AK72" i="3"/>
  <c r="AL72" i="3"/>
  <c r="AN72" i="3"/>
  <c r="AU72" i="3"/>
  <c r="AV72" i="3"/>
  <c r="CG72" i="3"/>
  <c r="DK72" i="3" s="1"/>
  <c r="CH72" i="3"/>
  <c r="CI72" i="3"/>
  <c r="CJ72" i="3"/>
  <c r="CK72" i="3"/>
  <c r="CM72" i="3"/>
  <c r="CN72" i="3"/>
  <c r="CO72" i="3"/>
  <c r="CP72" i="3"/>
  <c r="CQ72" i="3"/>
  <c r="CR72" i="3"/>
  <c r="CS72" i="3"/>
  <c r="CT72" i="3"/>
  <c r="CU72" i="3"/>
  <c r="CV72" i="3"/>
  <c r="CW72" i="3"/>
  <c r="CY72" i="3"/>
  <c r="CZ72" i="3"/>
  <c r="DA72" i="3"/>
  <c r="DB72" i="3"/>
  <c r="DC72" i="3"/>
  <c r="DD72" i="3"/>
  <c r="DE72" i="3"/>
  <c r="DF72" i="3"/>
  <c r="DG72" i="3"/>
  <c r="DI72" i="3"/>
  <c r="DJ72" i="3"/>
  <c r="DM72" i="3"/>
  <c r="DN72" i="3"/>
  <c r="DO72" i="3"/>
  <c r="DP72" i="3"/>
  <c r="DQ72" i="3"/>
  <c r="DR72" i="3"/>
  <c r="DS72" i="3"/>
  <c r="DT72" i="3"/>
  <c r="DU72" i="3"/>
  <c r="DV72" i="3"/>
  <c r="DW72" i="3"/>
  <c r="DX72" i="3"/>
  <c r="DY72" i="3"/>
  <c r="EA72" i="3"/>
  <c r="EB72" i="3"/>
  <c r="EE72" i="3"/>
  <c r="EF72" i="3"/>
  <c r="EG72" i="3"/>
  <c r="EH72" i="3"/>
  <c r="EI72" i="3"/>
  <c r="EJ72" i="3"/>
  <c r="EK72" i="3"/>
  <c r="EL72" i="3"/>
  <c r="EM72" i="3"/>
  <c r="EN72" i="3"/>
  <c r="S73" i="3"/>
  <c r="AF73" i="3"/>
  <c r="AG73" i="3"/>
  <c r="CX73" i="3" s="1"/>
  <c r="AH73" i="3"/>
  <c r="DH73" i="3" s="1"/>
  <c r="AI73" i="3"/>
  <c r="AJ73" i="3"/>
  <c r="AK73" i="3"/>
  <c r="AL73" i="3"/>
  <c r="AN73" i="3"/>
  <c r="AU73" i="3"/>
  <c r="AV73" i="3"/>
  <c r="CG73" i="3"/>
  <c r="CH73" i="3"/>
  <c r="CI73" i="3"/>
  <c r="CJ73" i="3"/>
  <c r="CK73" i="3"/>
  <c r="DL73" i="3" s="1"/>
  <c r="CM73" i="3"/>
  <c r="CN73" i="3"/>
  <c r="CO73" i="3"/>
  <c r="CP73" i="3"/>
  <c r="CQ73" i="3"/>
  <c r="CR73" i="3"/>
  <c r="CS73" i="3"/>
  <c r="CT73" i="3"/>
  <c r="CU73" i="3"/>
  <c r="CV73" i="3"/>
  <c r="CW73" i="3"/>
  <c r="CY73" i="3"/>
  <c r="CZ73" i="3"/>
  <c r="DA73" i="3"/>
  <c r="DB73" i="3"/>
  <c r="DC73" i="3"/>
  <c r="DD73" i="3"/>
  <c r="DE73" i="3"/>
  <c r="DF73" i="3"/>
  <c r="DG73" i="3"/>
  <c r="DI73" i="3"/>
  <c r="DJ73" i="3"/>
  <c r="DM73" i="3"/>
  <c r="DN73" i="3"/>
  <c r="DO73" i="3"/>
  <c r="DP73" i="3"/>
  <c r="DQ73" i="3"/>
  <c r="DR73" i="3"/>
  <c r="DS73" i="3"/>
  <c r="DT73" i="3"/>
  <c r="DU73" i="3"/>
  <c r="DV73" i="3"/>
  <c r="DW73" i="3"/>
  <c r="DX73" i="3"/>
  <c r="DY73" i="3"/>
  <c r="EA73" i="3"/>
  <c r="EB73" i="3"/>
  <c r="EE73" i="3"/>
  <c r="EF73" i="3"/>
  <c r="EG73" i="3"/>
  <c r="EH73" i="3"/>
  <c r="EI73" i="3"/>
  <c r="EJ73" i="3"/>
  <c r="EK73" i="3"/>
  <c r="EL73" i="3"/>
  <c r="AR73" i="3" s="1"/>
  <c r="AO73" i="3"/>
  <c r="AP73" i="3" s="1"/>
  <c r="EM73" i="3"/>
  <c r="EN73" i="3"/>
  <c r="S74" i="3"/>
  <c r="AF74" i="3"/>
  <c r="AG74" i="3"/>
  <c r="AH74" i="3"/>
  <c r="AI74" i="3"/>
  <c r="AJ74" i="3"/>
  <c r="AK74" i="3"/>
  <c r="AL74" i="3"/>
  <c r="AN74" i="3"/>
  <c r="AU74" i="3"/>
  <c r="AV74" i="3"/>
  <c r="CG74" i="3"/>
  <c r="CH74" i="3"/>
  <c r="CI74" i="3"/>
  <c r="CJ74" i="3"/>
  <c r="CK74" i="3"/>
  <c r="CM74" i="3"/>
  <c r="CN74" i="3"/>
  <c r="CO74" i="3"/>
  <c r="CP74" i="3"/>
  <c r="CQ74" i="3"/>
  <c r="CR74" i="3"/>
  <c r="CS74" i="3"/>
  <c r="CT74" i="3"/>
  <c r="CU74" i="3"/>
  <c r="CV74" i="3"/>
  <c r="CW74" i="3"/>
  <c r="CX74" i="3"/>
  <c r="CY74" i="3"/>
  <c r="CZ74" i="3"/>
  <c r="DA74" i="3"/>
  <c r="DB74" i="3"/>
  <c r="DC74" i="3"/>
  <c r="DD74" i="3"/>
  <c r="DE74" i="3"/>
  <c r="DF74" i="3"/>
  <c r="DG74" i="3"/>
  <c r="DH74" i="3"/>
  <c r="DI74" i="3"/>
  <c r="DJ74" i="3"/>
  <c r="DM74" i="3"/>
  <c r="DN74" i="3"/>
  <c r="DO74" i="3"/>
  <c r="DP74" i="3"/>
  <c r="DQ74" i="3"/>
  <c r="DR74" i="3"/>
  <c r="DS74" i="3"/>
  <c r="DT74" i="3"/>
  <c r="DU74" i="3"/>
  <c r="DV74" i="3"/>
  <c r="DW74" i="3"/>
  <c r="DX74" i="3"/>
  <c r="DY74" i="3"/>
  <c r="DZ74" i="3"/>
  <c r="EA74" i="3"/>
  <c r="EB74" i="3"/>
  <c r="EE74" i="3"/>
  <c r="EF74" i="3"/>
  <c r="AS74" i="3"/>
  <c r="EG74" i="3"/>
  <c r="EH74" i="3"/>
  <c r="EI74" i="3"/>
  <c r="EJ74" i="3"/>
  <c r="EK74" i="3"/>
  <c r="EL74" i="3"/>
  <c r="EM74" i="3"/>
  <c r="EN74" i="3"/>
  <c r="EO74" i="3" s="1"/>
  <c r="S75" i="3"/>
  <c r="AF75" i="3"/>
  <c r="AG75" i="3"/>
  <c r="CX75" i="3"/>
  <c r="AH75" i="3"/>
  <c r="DH75" i="3"/>
  <c r="AI75" i="3"/>
  <c r="AJ75" i="3"/>
  <c r="AK75" i="3"/>
  <c r="AL75" i="3"/>
  <c r="AN75" i="3"/>
  <c r="AU75" i="3"/>
  <c r="AV75" i="3"/>
  <c r="CG75" i="3"/>
  <c r="DK75" i="3" s="1"/>
  <c r="CH75" i="3"/>
  <c r="EC75" i="3" s="1"/>
  <c r="CI75" i="3"/>
  <c r="CJ75" i="3"/>
  <c r="CK75" i="3"/>
  <c r="CM75" i="3"/>
  <c r="CN75" i="3"/>
  <c r="CO75" i="3"/>
  <c r="CP75" i="3"/>
  <c r="CQ75" i="3"/>
  <c r="CR75" i="3"/>
  <c r="CS75" i="3"/>
  <c r="CT75" i="3"/>
  <c r="CU75" i="3"/>
  <c r="CV75" i="3"/>
  <c r="CW75" i="3"/>
  <c r="CY75" i="3"/>
  <c r="CZ75" i="3"/>
  <c r="DA75" i="3"/>
  <c r="DB75" i="3"/>
  <c r="DC75" i="3"/>
  <c r="DD75" i="3"/>
  <c r="DE75" i="3"/>
  <c r="DF75" i="3"/>
  <c r="DG75" i="3"/>
  <c r="DI75" i="3"/>
  <c r="DJ75" i="3"/>
  <c r="DM75" i="3"/>
  <c r="DN75" i="3"/>
  <c r="DO75" i="3"/>
  <c r="DP75" i="3"/>
  <c r="DQ75" i="3"/>
  <c r="DR75" i="3"/>
  <c r="DS75" i="3"/>
  <c r="DT75" i="3"/>
  <c r="DU75" i="3"/>
  <c r="DV75" i="3"/>
  <c r="DW75" i="3"/>
  <c r="DX75" i="3"/>
  <c r="DY75" i="3"/>
  <c r="EA75" i="3"/>
  <c r="EB75" i="3"/>
  <c r="EE75" i="3"/>
  <c r="EF75" i="3"/>
  <c r="EO75" i="3" s="1"/>
  <c r="EG75" i="3"/>
  <c r="AQ75" i="3" s="1"/>
  <c r="EH75" i="3"/>
  <c r="EI75" i="3"/>
  <c r="EJ75" i="3"/>
  <c r="EK75" i="3"/>
  <c r="EL75" i="3"/>
  <c r="AO75" i="3" s="1"/>
  <c r="AP75" i="3" s="1"/>
  <c r="AR75" i="3"/>
  <c r="EM75" i="3"/>
  <c r="EN75" i="3"/>
  <c r="S76" i="3"/>
  <c r="AF76" i="3"/>
  <c r="AG76" i="3"/>
  <c r="AH76" i="3"/>
  <c r="AI76" i="3"/>
  <c r="AJ76" i="3"/>
  <c r="AK76" i="3"/>
  <c r="AL76" i="3"/>
  <c r="AN76" i="3"/>
  <c r="AT76" i="3"/>
  <c r="AU76" i="3"/>
  <c r="AV76" i="3"/>
  <c r="CH76" i="3"/>
  <c r="CI76" i="3"/>
  <c r="CJ76" i="3"/>
  <c r="CK76" i="3"/>
  <c r="CM76" i="3"/>
  <c r="CN76" i="3"/>
  <c r="CO76" i="3"/>
  <c r="CP76" i="3"/>
  <c r="CQ76" i="3"/>
  <c r="CR76" i="3"/>
  <c r="CS76" i="3"/>
  <c r="CT76" i="3"/>
  <c r="CU76" i="3"/>
  <c r="CV76" i="3"/>
  <c r="CW76" i="3"/>
  <c r="CX76" i="3"/>
  <c r="CY76" i="3"/>
  <c r="CZ76" i="3"/>
  <c r="DA76" i="3"/>
  <c r="DB76" i="3"/>
  <c r="DC76" i="3"/>
  <c r="DD76" i="3"/>
  <c r="DE76" i="3"/>
  <c r="DF76" i="3"/>
  <c r="DG76" i="3"/>
  <c r="DH76" i="3"/>
  <c r="DI76" i="3"/>
  <c r="DJ76" i="3"/>
  <c r="DK76" i="3"/>
  <c r="DL76" i="3"/>
  <c r="DM76" i="3"/>
  <c r="DN76" i="3"/>
  <c r="DO76" i="3"/>
  <c r="DP76" i="3"/>
  <c r="DQ76" i="3"/>
  <c r="DR76" i="3"/>
  <c r="DS76" i="3"/>
  <c r="DT76" i="3"/>
  <c r="DU76" i="3"/>
  <c r="DV76" i="3"/>
  <c r="DW76" i="3"/>
  <c r="DX76" i="3"/>
  <c r="DY76" i="3"/>
  <c r="EA76" i="3"/>
  <c r="EB76" i="3"/>
  <c r="EC76" i="3"/>
  <c r="EE76" i="3"/>
  <c r="EF76" i="3"/>
  <c r="EG76" i="3"/>
  <c r="EH76" i="3"/>
  <c r="EI76" i="3"/>
  <c r="EJ76" i="3"/>
  <c r="EK76" i="3"/>
  <c r="EL76" i="3"/>
  <c r="AO76" i="3" s="1"/>
  <c r="AP76" i="3" s="1"/>
  <c r="EM76" i="3"/>
  <c r="EN76" i="3"/>
  <c r="J77" i="3"/>
  <c r="EN77" i="3" s="1"/>
  <c r="AG77" i="3"/>
  <c r="CX77" i="3"/>
  <c r="AH77" i="3"/>
  <c r="DH77" i="3"/>
  <c r="AI77" i="3"/>
  <c r="AJ77" i="3"/>
  <c r="AK77" i="3"/>
  <c r="AL77" i="3"/>
  <c r="AN77" i="3"/>
  <c r="AU77" i="3"/>
  <c r="AV77" i="3"/>
  <c r="CG77" i="3"/>
  <c r="DL77" i="3" s="1"/>
  <c r="CH77" i="3"/>
  <c r="CJ77" i="3"/>
  <c r="CK77" i="3"/>
  <c r="CM77" i="3"/>
  <c r="CO77" i="3"/>
  <c r="CP77" i="3"/>
  <c r="CQ77" i="3"/>
  <c r="CS77" i="3"/>
  <c r="CU77" i="3"/>
  <c r="CV77" i="3"/>
  <c r="CW77" i="3"/>
  <c r="DA77" i="3"/>
  <c r="DB77" i="3"/>
  <c r="DM77" i="3"/>
  <c r="DN77" i="3"/>
  <c r="DO77" i="3"/>
  <c r="DP77" i="3"/>
  <c r="DQ77" i="3"/>
  <c r="DR77" i="3"/>
  <c r="DS77" i="3"/>
  <c r="DT77" i="3"/>
  <c r="DU77" i="3"/>
  <c r="DW77" i="3"/>
  <c r="DX77" i="3"/>
  <c r="EF77" i="3"/>
  <c r="EI77" i="3"/>
  <c r="EJ77" i="3"/>
  <c r="J78" i="3"/>
  <c r="AG78" i="3"/>
  <c r="CX78" i="3"/>
  <c r="AH78" i="3"/>
  <c r="DH78" i="3"/>
  <c r="AI78" i="3"/>
  <c r="AJ78" i="3"/>
  <c r="AK78" i="3"/>
  <c r="AL78" i="3"/>
  <c r="AN78" i="3"/>
  <c r="AU78" i="3"/>
  <c r="AV78" i="3"/>
  <c r="CG78" i="3"/>
  <c r="DL78" i="3" s="1"/>
  <c r="CH78" i="3"/>
  <c r="CJ78" i="3"/>
  <c r="CK78" i="3"/>
  <c r="CM78" i="3"/>
  <c r="CO78" i="3"/>
  <c r="CP78" i="3"/>
  <c r="CQ78" i="3"/>
  <c r="CS78" i="3"/>
  <c r="CU78" i="3"/>
  <c r="CV78" i="3"/>
  <c r="CW78" i="3"/>
  <c r="DA78" i="3"/>
  <c r="DB78" i="3"/>
  <c r="DM78" i="3"/>
  <c r="DN78" i="3"/>
  <c r="DO78" i="3"/>
  <c r="DP78" i="3"/>
  <c r="DQ78" i="3"/>
  <c r="DR78" i="3"/>
  <c r="DS78" i="3"/>
  <c r="DT78" i="3"/>
  <c r="DU78" i="3"/>
  <c r="DW78" i="3"/>
  <c r="DX78" i="3"/>
  <c r="EG78" i="3"/>
  <c r="EH78" i="3"/>
  <c r="J79" i="3"/>
  <c r="EM79" i="3"/>
  <c r="AF79" i="3"/>
  <c r="AG79" i="3"/>
  <c r="CX79" i="3"/>
  <c r="AH79" i="3"/>
  <c r="DH79" i="3" s="1"/>
  <c r="AI79" i="3"/>
  <c r="AJ79" i="3"/>
  <c r="AK79" i="3"/>
  <c r="AL79" i="3"/>
  <c r="AN79" i="3"/>
  <c r="AU79" i="3"/>
  <c r="AV79" i="3"/>
  <c r="CG79" i="3"/>
  <c r="CH79" i="3"/>
  <c r="CJ79" i="3"/>
  <c r="CK79" i="3"/>
  <c r="DL79" i="3" s="1"/>
  <c r="CM79" i="3"/>
  <c r="CO79" i="3"/>
  <c r="CP79" i="3"/>
  <c r="CQ79" i="3"/>
  <c r="CS79" i="3"/>
  <c r="CU79" i="3"/>
  <c r="CV79" i="3"/>
  <c r="CW79" i="3"/>
  <c r="DA79" i="3"/>
  <c r="DB79" i="3"/>
  <c r="DG79" i="3"/>
  <c r="DM79" i="3"/>
  <c r="DN79" i="3"/>
  <c r="DO79" i="3"/>
  <c r="DQ79" i="3"/>
  <c r="DR79" i="3"/>
  <c r="DS79" i="3"/>
  <c r="DT79" i="3"/>
  <c r="DU79" i="3"/>
  <c r="DW79" i="3"/>
  <c r="DX79" i="3"/>
  <c r="EE79" i="3"/>
  <c r="EG79" i="3"/>
  <c r="EH79" i="3"/>
  <c r="EI79" i="3"/>
  <c r="EJ79" i="3"/>
  <c r="EL79" i="3"/>
  <c r="EN79" i="3"/>
  <c r="J80" i="3"/>
  <c r="S80" i="3"/>
  <c r="AG80" i="3"/>
  <c r="CX80" i="3" s="1"/>
  <c r="AH80" i="3"/>
  <c r="DH80" i="3" s="1"/>
  <c r="AI80" i="3"/>
  <c r="AJ80" i="3"/>
  <c r="AK80" i="3"/>
  <c r="AL80" i="3"/>
  <c r="AN80" i="3"/>
  <c r="AU80" i="3"/>
  <c r="AV80" i="3"/>
  <c r="CG80" i="3"/>
  <c r="DL80" i="3" s="1"/>
  <c r="CH80" i="3"/>
  <c r="CJ80" i="3"/>
  <c r="CK80" i="3"/>
  <c r="CM80" i="3"/>
  <c r="CO80" i="3"/>
  <c r="CP80" i="3"/>
  <c r="CQ80" i="3"/>
  <c r="CS80" i="3"/>
  <c r="CU80" i="3"/>
  <c r="CV80" i="3"/>
  <c r="CW80" i="3"/>
  <c r="DA80" i="3"/>
  <c r="DB80" i="3"/>
  <c r="DG80" i="3"/>
  <c r="DM80" i="3"/>
  <c r="DN80" i="3"/>
  <c r="DO80" i="3"/>
  <c r="DP80" i="3"/>
  <c r="DQ80" i="3"/>
  <c r="DR80" i="3"/>
  <c r="DS80" i="3"/>
  <c r="DT80" i="3"/>
  <c r="DU80" i="3"/>
  <c r="DW80" i="3"/>
  <c r="DX80" i="3"/>
  <c r="EG80" i="3"/>
  <c r="EH80" i="3"/>
  <c r="EL80" i="3"/>
  <c r="EM80" i="3"/>
  <c r="J81" i="3"/>
  <c r="EN81" i="3" s="1"/>
  <c r="AG81" i="3"/>
  <c r="CX81" i="3"/>
  <c r="AH81" i="3"/>
  <c r="DH81" i="3" s="1"/>
  <c r="AI81" i="3"/>
  <c r="AJ81" i="3"/>
  <c r="AK81" i="3"/>
  <c r="AL81" i="3"/>
  <c r="AN81" i="3"/>
  <c r="AU81" i="3"/>
  <c r="AV81" i="3"/>
  <c r="CG81" i="3"/>
  <c r="DL81" i="3" s="1"/>
  <c r="CH81" i="3"/>
  <c r="CJ81" i="3"/>
  <c r="CK81" i="3"/>
  <c r="CM81" i="3"/>
  <c r="CO81" i="3"/>
  <c r="CP81" i="3"/>
  <c r="CQ81" i="3"/>
  <c r="CS81" i="3"/>
  <c r="CU81" i="3"/>
  <c r="CV81" i="3"/>
  <c r="CW81" i="3"/>
  <c r="DA81" i="3"/>
  <c r="DB81" i="3"/>
  <c r="DG81" i="3"/>
  <c r="DM81" i="3"/>
  <c r="DN81" i="3"/>
  <c r="DO81" i="3"/>
  <c r="DP81" i="3"/>
  <c r="DQ81" i="3"/>
  <c r="DR81" i="3"/>
  <c r="DS81" i="3"/>
  <c r="DT81" i="3"/>
  <c r="DU81" i="3"/>
  <c r="DW81" i="3"/>
  <c r="DX81" i="3"/>
  <c r="EK81" i="3"/>
  <c r="EL81" i="3"/>
  <c r="J82" i="3"/>
  <c r="AG82" i="3"/>
  <c r="CX82" i="3" s="1"/>
  <c r="AH82" i="3"/>
  <c r="DH82" i="3"/>
  <c r="AI82" i="3"/>
  <c r="AJ82" i="3"/>
  <c r="AK82" i="3"/>
  <c r="AL82" i="3"/>
  <c r="AN82" i="3"/>
  <c r="AU82" i="3"/>
  <c r="AV82" i="3"/>
  <c r="CG82" i="3"/>
  <c r="DL82" i="3" s="1"/>
  <c r="CH82" i="3"/>
  <c r="CJ82" i="3"/>
  <c r="CK82" i="3"/>
  <c r="CM82" i="3"/>
  <c r="CO82" i="3"/>
  <c r="CP82" i="3"/>
  <c r="CQ82" i="3"/>
  <c r="CS82" i="3"/>
  <c r="CU82" i="3"/>
  <c r="CV82" i="3"/>
  <c r="CW82" i="3"/>
  <c r="DA82" i="3"/>
  <c r="DB82" i="3"/>
  <c r="DG82" i="3"/>
  <c r="DM82" i="3"/>
  <c r="DN82" i="3"/>
  <c r="DO82" i="3"/>
  <c r="DP82" i="3"/>
  <c r="DQ82" i="3"/>
  <c r="DR82" i="3"/>
  <c r="DS82" i="3"/>
  <c r="DT82" i="3"/>
  <c r="DU82" i="3"/>
  <c r="DW82" i="3"/>
  <c r="DX82" i="3"/>
  <c r="EE82" i="3"/>
  <c r="EF82" i="3"/>
  <c r="EH82" i="3"/>
  <c r="J83" i="3"/>
  <c r="EN83" i="3" s="1"/>
  <c r="S83" i="3"/>
  <c r="AG83" i="3"/>
  <c r="CX83" i="3" s="1"/>
  <c r="AH83" i="3"/>
  <c r="DH83" i="3"/>
  <c r="AI83" i="3"/>
  <c r="AJ83" i="3"/>
  <c r="AK83" i="3"/>
  <c r="AL83" i="3"/>
  <c r="AN83" i="3"/>
  <c r="AU83" i="3"/>
  <c r="AV83" i="3"/>
  <c r="CG83" i="3"/>
  <c r="DL83" i="3" s="1"/>
  <c r="CH83" i="3"/>
  <c r="CJ83" i="3"/>
  <c r="CK83" i="3"/>
  <c r="CM83" i="3"/>
  <c r="CO83" i="3"/>
  <c r="CP83" i="3"/>
  <c r="CQ83" i="3"/>
  <c r="CS83" i="3"/>
  <c r="CU83" i="3"/>
  <c r="CV83" i="3"/>
  <c r="CW83" i="3"/>
  <c r="DA83" i="3"/>
  <c r="DB83" i="3"/>
  <c r="DG83" i="3"/>
  <c r="DM83" i="3"/>
  <c r="DN83" i="3"/>
  <c r="DO83" i="3"/>
  <c r="DP83" i="3"/>
  <c r="DQ83" i="3"/>
  <c r="DR83" i="3"/>
  <c r="DS83" i="3"/>
  <c r="DT83" i="3"/>
  <c r="DU83" i="3"/>
  <c r="DW83" i="3"/>
  <c r="DX83" i="3"/>
  <c r="EE83" i="3"/>
  <c r="EG83" i="3"/>
  <c r="EI83" i="3"/>
  <c r="EJ83" i="3"/>
  <c r="EL83" i="3"/>
  <c r="EM83" i="3"/>
  <c r="S84" i="3"/>
  <c r="AF84" i="3"/>
  <c r="AG84" i="3"/>
  <c r="AH84" i="3"/>
  <c r="AI84" i="3"/>
  <c r="AJ84" i="3"/>
  <c r="AK84" i="3"/>
  <c r="AL84" i="3"/>
  <c r="AN84" i="3"/>
  <c r="AU84" i="3"/>
  <c r="AV84" i="3"/>
  <c r="EE84" i="3"/>
  <c r="EF84" i="3"/>
  <c r="EG84" i="3"/>
  <c r="EH84" i="3"/>
  <c r="AS84" i="3" s="1"/>
  <c r="EI84" i="3"/>
  <c r="EJ84" i="3"/>
  <c r="EK84" i="3"/>
  <c r="EO84" i="3" s="1"/>
  <c r="EL84" i="3"/>
  <c r="AR84" i="3" s="1"/>
  <c r="EM84" i="3"/>
  <c r="EN84" i="3"/>
  <c r="S85" i="3"/>
  <c r="AF85" i="3"/>
  <c r="AG85" i="3"/>
  <c r="AH85" i="3"/>
  <c r="AI85" i="3"/>
  <c r="AJ85" i="3"/>
  <c r="AK85" i="3"/>
  <c r="AL85" i="3"/>
  <c r="AN85" i="3"/>
  <c r="AU85" i="3"/>
  <c r="AV85" i="3"/>
  <c r="EE85" i="3"/>
  <c r="EF85" i="3"/>
  <c r="EG85" i="3"/>
  <c r="EH85" i="3"/>
  <c r="EI85" i="3"/>
  <c r="EJ85" i="3"/>
  <c r="EK85" i="3"/>
  <c r="EL85" i="3"/>
  <c r="EM85" i="3"/>
  <c r="EN85" i="3"/>
  <c r="S86" i="3"/>
  <c r="AF86" i="3"/>
  <c r="AG86" i="3"/>
  <c r="AH86" i="3"/>
  <c r="AI86" i="3"/>
  <c r="AJ86" i="3"/>
  <c r="AK86" i="3"/>
  <c r="AL86" i="3"/>
  <c r="AN86" i="3"/>
  <c r="AU86" i="3"/>
  <c r="AV86" i="3"/>
  <c r="CI86" i="3"/>
  <c r="EC86" i="3" s="1"/>
  <c r="CJ86" i="3"/>
  <c r="CK86" i="3"/>
  <c r="DL86" i="3"/>
  <c r="CM86" i="3"/>
  <c r="CN86" i="3"/>
  <c r="CO86" i="3"/>
  <c r="CP86" i="3"/>
  <c r="CQ86" i="3"/>
  <c r="CR86" i="3"/>
  <c r="CS86" i="3"/>
  <c r="CT86" i="3"/>
  <c r="DK86" i="3" s="1"/>
  <c r="CU86" i="3"/>
  <c r="CV86" i="3"/>
  <c r="CW86" i="3"/>
  <c r="CX86" i="3"/>
  <c r="CY86" i="3"/>
  <c r="CZ86" i="3"/>
  <c r="DA86" i="3"/>
  <c r="DB86" i="3"/>
  <c r="DC86" i="3"/>
  <c r="DD86" i="3"/>
  <c r="DE86" i="3"/>
  <c r="DF86" i="3"/>
  <c r="DG86" i="3"/>
  <c r="DH86" i="3"/>
  <c r="DI86" i="3"/>
  <c r="DJ86" i="3"/>
  <c r="DM86" i="3"/>
  <c r="DN86" i="3"/>
  <c r="DO86" i="3"/>
  <c r="DP86" i="3"/>
  <c r="DQ86" i="3"/>
  <c r="DR86" i="3"/>
  <c r="DS86" i="3"/>
  <c r="DT86" i="3"/>
  <c r="DU86" i="3"/>
  <c r="DV86" i="3"/>
  <c r="DW86" i="3"/>
  <c r="DX86" i="3"/>
  <c r="DY86" i="3"/>
  <c r="EA86" i="3"/>
  <c r="EB86" i="3"/>
  <c r="EE86" i="3"/>
  <c r="EF86" i="3"/>
  <c r="EG86" i="3"/>
  <c r="AQ86" i="3"/>
  <c r="EH86" i="3"/>
  <c r="EI86" i="3"/>
  <c r="EJ86" i="3"/>
  <c r="EK86" i="3"/>
  <c r="DZ86" i="3" s="1"/>
  <c r="EL86" i="3"/>
  <c r="EM86" i="3"/>
  <c r="EN86" i="3"/>
  <c r="S87" i="3"/>
  <c r="AF87" i="3"/>
  <c r="AG87" i="3"/>
  <c r="CX87" i="3" s="1"/>
  <c r="AH87" i="3"/>
  <c r="AI87" i="3"/>
  <c r="AJ87" i="3"/>
  <c r="AK87" i="3"/>
  <c r="AL87" i="3"/>
  <c r="AN87" i="3"/>
  <c r="AU87" i="3"/>
  <c r="AV87" i="3"/>
  <c r="CG87" i="3"/>
  <c r="CH87" i="3"/>
  <c r="CI87" i="3"/>
  <c r="CJ87" i="3"/>
  <c r="CK87" i="3"/>
  <c r="CM87" i="3"/>
  <c r="CN87" i="3"/>
  <c r="CO87" i="3"/>
  <c r="CP87" i="3"/>
  <c r="CQ87" i="3"/>
  <c r="CR87" i="3"/>
  <c r="CS87" i="3"/>
  <c r="CT87" i="3"/>
  <c r="CU87" i="3"/>
  <c r="CV87" i="3"/>
  <c r="CW87" i="3"/>
  <c r="CY87" i="3"/>
  <c r="CZ87" i="3"/>
  <c r="DA87" i="3"/>
  <c r="DB87" i="3"/>
  <c r="DC87" i="3"/>
  <c r="DD87" i="3"/>
  <c r="DE87" i="3"/>
  <c r="DF87" i="3"/>
  <c r="DG87" i="3"/>
  <c r="DH87" i="3"/>
  <c r="DI87" i="3"/>
  <c r="DJ87" i="3"/>
  <c r="DM87" i="3"/>
  <c r="DN87" i="3"/>
  <c r="DO87" i="3"/>
  <c r="DP87" i="3"/>
  <c r="DQ87" i="3"/>
  <c r="DR87" i="3"/>
  <c r="DS87" i="3"/>
  <c r="DT87" i="3"/>
  <c r="DU87" i="3"/>
  <c r="DV87" i="3"/>
  <c r="DW87" i="3"/>
  <c r="DX87" i="3"/>
  <c r="DY87" i="3"/>
  <c r="EA87" i="3"/>
  <c r="EB87" i="3"/>
  <c r="EE87" i="3"/>
  <c r="AS87" i="3" s="1"/>
  <c r="EF87" i="3"/>
  <c r="EG87" i="3"/>
  <c r="AM87" i="3" s="1"/>
  <c r="EH87" i="3"/>
  <c r="EI87" i="3"/>
  <c r="EJ87" i="3"/>
  <c r="EK87" i="3"/>
  <c r="DZ87" i="3" s="1"/>
  <c r="EL87" i="3"/>
  <c r="EM87" i="3"/>
  <c r="AR87" i="3" s="1"/>
  <c r="EN87" i="3"/>
  <c r="S88" i="3"/>
  <c r="AF88" i="3"/>
  <c r="AG88" i="3"/>
  <c r="CX88" i="3"/>
  <c r="AH88" i="3"/>
  <c r="AI88" i="3"/>
  <c r="AJ88" i="3"/>
  <c r="AK88" i="3"/>
  <c r="AL88" i="3"/>
  <c r="AN88" i="3"/>
  <c r="AU88" i="3"/>
  <c r="AV88" i="3"/>
  <c r="CG88" i="3"/>
  <c r="CH88" i="3"/>
  <c r="CI88" i="3"/>
  <c r="CJ88" i="3"/>
  <c r="CK88" i="3"/>
  <c r="CM88" i="3"/>
  <c r="CN88" i="3"/>
  <c r="CO88" i="3"/>
  <c r="CP88" i="3"/>
  <c r="CQ88" i="3"/>
  <c r="CR88" i="3"/>
  <c r="CS88" i="3"/>
  <c r="CT88" i="3"/>
  <c r="CU88" i="3"/>
  <c r="CY88" i="3"/>
  <c r="DB88" i="3"/>
  <c r="DC88" i="3"/>
  <c r="DG88" i="3"/>
  <c r="DN88" i="3"/>
  <c r="DO88" i="3"/>
  <c r="DT88" i="3"/>
  <c r="DU88" i="3"/>
  <c r="DW88" i="3"/>
  <c r="DX88" i="3"/>
  <c r="EA88" i="3"/>
  <c r="EB88" i="3"/>
  <c r="EE88" i="3"/>
  <c r="AS88" i="3" s="1"/>
  <c r="EF88" i="3"/>
  <c r="EG88" i="3"/>
  <c r="EH88" i="3"/>
  <c r="EI88" i="3"/>
  <c r="EJ88" i="3"/>
  <c r="EK88" i="3"/>
  <c r="EL88" i="3"/>
  <c r="EM88" i="3"/>
  <c r="AQ88" i="3" s="1"/>
  <c r="EN88" i="3"/>
  <c r="S89" i="3"/>
  <c r="AF89" i="3"/>
  <c r="AG89" i="3"/>
  <c r="CX89" i="3"/>
  <c r="AH89" i="3"/>
  <c r="AI89" i="3"/>
  <c r="AJ89" i="3"/>
  <c r="AK89" i="3"/>
  <c r="AL89" i="3"/>
  <c r="AN89" i="3"/>
  <c r="AU89" i="3"/>
  <c r="AV89" i="3"/>
  <c r="CU89" i="3"/>
  <c r="DB89" i="3"/>
  <c r="DG89" i="3"/>
  <c r="DT89" i="3"/>
  <c r="DU89" i="3"/>
  <c r="DX89" i="3"/>
  <c r="DZ89" i="3"/>
  <c r="EB89" i="3"/>
  <c r="EE89" i="3"/>
  <c r="EF89" i="3"/>
  <c r="EG89" i="3"/>
  <c r="EH89" i="3"/>
  <c r="EO89" i="3" s="1"/>
  <c r="EI89" i="3"/>
  <c r="EJ89" i="3"/>
  <c r="EK89" i="3"/>
  <c r="AM89" i="3" s="1"/>
  <c r="EL89" i="3"/>
  <c r="EM89" i="3"/>
  <c r="AO89" i="3" s="1"/>
  <c r="AP89" i="3" s="1"/>
  <c r="EN89" i="3"/>
  <c r="S90" i="3"/>
  <c r="AF90" i="3"/>
  <c r="AG90" i="3"/>
  <c r="CX90" i="3" s="1"/>
  <c r="AH90" i="3"/>
  <c r="DH90" i="3"/>
  <c r="AI90" i="3"/>
  <c r="AJ90" i="3"/>
  <c r="AK90" i="3"/>
  <c r="AL90" i="3"/>
  <c r="AN90" i="3"/>
  <c r="AU90" i="3"/>
  <c r="AV90" i="3"/>
  <c r="CH90" i="3"/>
  <c r="CI90" i="3"/>
  <c r="CJ90" i="3"/>
  <c r="CK90" i="3"/>
  <c r="CM90" i="3"/>
  <c r="CN90" i="3"/>
  <c r="CO90" i="3"/>
  <c r="CP90" i="3"/>
  <c r="CQ90" i="3"/>
  <c r="CR90" i="3"/>
  <c r="CS90" i="3"/>
  <c r="CT90" i="3"/>
  <c r="DK90" i="3" s="1"/>
  <c r="CU90" i="3"/>
  <c r="CV90" i="3"/>
  <c r="CW90" i="3"/>
  <c r="CY90" i="3"/>
  <c r="CZ90" i="3"/>
  <c r="DA90" i="3"/>
  <c r="DB90" i="3"/>
  <c r="DC90" i="3"/>
  <c r="DD90" i="3"/>
  <c r="DE90" i="3"/>
  <c r="DF90" i="3"/>
  <c r="DG90" i="3"/>
  <c r="DI90" i="3"/>
  <c r="DJ90" i="3"/>
  <c r="DL90" i="3"/>
  <c r="DM90" i="3"/>
  <c r="DN90" i="3"/>
  <c r="DO90" i="3"/>
  <c r="DP90" i="3"/>
  <c r="DQ90" i="3"/>
  <c r="DR90" i="3"/>
  <c r="DS90" i="3"/>
  <c r="DT90" i="3"/>
  <c r="DU90" i="3"/>
  <c r="DV90" i="3"/>
  <c r="DW90" i="3"/>
  <c r="DX90" i="3"/>
  <c r="DY90" i="3"/>
  <c r="DZ90" i="3"/>
  <c r="EA90" i="3"/>
  <c r="EB90" i="3"/>
  <c r="EE90" i="3"/>
  <c r="EF90" i="3"/>
  <c r="EG90" i="3"/>
  <c r="EH90" i="3"/>
  <c r="EI90" i="3"/>
  <c r="EJ90" i="3"/>
  <c r="AT90" i="3" s="1"/>
  <c r="EK90" i="3"/>
  <c r="AM90" i="3" s="1"/>
  <c r="EL90" i="3"/>
  <c r="EM90" i="3"/>
  <c r="EN90" i="3"/>
  <c r="S91" i="3"/>
  <c r="AF91" i="3"/>
  <c r="AG91" i="3"/>
  <c r="CX91" i="3"/>
  <c r="AH91" i="3"/>
  <c r="DH91" i="3" s="1"/>
  <c r="AI91" i="3"/>
  <c r="AJ91" i="3"/>
  <c r="AK91" i="3"/>
  <c r="AL91" i="3"/>
  <c r="AN91" i="3"/>
  <c r="AO91" i="3"/>
  <c r="AP91" i="3" s="1"/>
  <c r="AU91" i="3"/>
  <c r="AV91" i="3"/>
  <c r="CG91" i="3"/>
  <c r="DL91" i="3" s="1"/>
  <c r="CH91" i="3"/>
  <c r="EC91" i="3"/>
  <c r="CI91" i="3"/>
  <c r="CJ91" i="3"/>
  <c r="CK91" i="3"/>
  <c r="CM91" i="3"/>
  <c r="CN91" i="3"/>
  <c r="CO91" i="3"/>
  <c r="CP91" i="3"/>
  <c r="CQ91" i="3"/>
  <c r="CR91" i="3"/>
  <c r="CS91" i="3"/>
  <c r="CT91" i="3"/>
  <c r="CU91" i="3"/>
  <c r="CV91" i="3"/>
  <c r="CW91" i="3"/>
  <c r="CY91" i="3"/>
  <c r="CZ91" i="3"/>
  <c r="DA91" i="3"/>
  <c r="DB91" i="3"/>
  <c r="DD91" i="3"/>
  <c r="DE91" i="3"/>
  <c r="DF91" i="3"/>
  <c r="DG91" i="3"/>
  <c r="DI91" i="3"/>
  <c r="DJ91" i="3"/>
  <c r="DM91" i="3"/>
  <c r="DN91" i="3"/>
  <c r="DO91" i="3"/>
  <c r="DP91" i="3"/>
  <c r="DQ91" i="3"/>
  <c r="DR91" i="3"/>
  <c r="DS91" i="3"/>
  <c r="DT91" i="3"/>
  <c r="DU91" i="3"/>
  <c r="DV91" i="3"/>
  <c r="DW91" i="3"/>
  <c r="DX91" i="3"/>
  <c r="DY91" i="3"/>
  <c r="DZ91" i="3"/>
  <c r="EA91" i="3"/>
  <c r="EB91" i="3"/>
  <c r="EE91" i="3"/>
  <c r="EF91" i="3"/>
  <c r="EG91" i="3"/>
  <c r="AQ91" i="3" s="1"/>
  <c r="EH91" i="3"/>
  <c r="EI91" i="3"/>
  <c r="EJ91" i="3"/>
  <c r="EK91" i="3"/>
  <c r="EL91" i="3"/>
  <c r="AR91" i="3" s="1"/>
  <c r="EM91" i="3"/>
  <c r="EN91" i="3"/>
  <c r="EO91" i="3"/>
  <c r="S5" i="2"/>
  <c r="AF5" i="2"/>
  <c r="AG5" i="2"/>
  <c r="CX5" i="2" s="1"/>
  <c r="AH5" i="2"/>
  <c r="AI5" i="2"/>
  <c r="AJ5" i="2"/>
  <c r="AK5" i="2"/>
  <c r="AL5" i="2"/>
  <c r="AN5" i="2"/>
  <c r="AU5" i="2"/>
  <c r="AV5" i="2"/>
  <c r="CH5" i="2"/>
  <c r="CU5" i="2"/>
  <c r="DB5" i="2"/>
  <c r="DC5" i="2"/>
  <c r="DG5" i="2"/>
  <c r="DT5" i="2"/>
  <c r="DU5" i="2"/>
  <c r="DW5" i="2"/>
  <c r="DX5" i="2"/>
  <c r="DY5" i="2"/>
  <c r="EB5" i="2"/>
  <c r="EE5" i="2"/>
  <c r="EF5" i="2"/>
  <c r="EG5" i="2"/>
  <c r="EH5" i="2"/>
  <c r="EI5" i="2"/>
  <c r="EJ5" i="2"/>
  <c r="EK5" i="2"/>
  <c r="EL5" i="2"/>
  <c r="EM5" i="2"/>
  <c r="EN5" i="2"/>
  <c r="S7" i="2"/>
  <c r="AF7" i="2"/>
  <c r="AG7" i="2"/>
  <c r="CX7" i="2" s="1"/>
  <c r="AH7" i="2"/>
  <c r="DH7" i="2" s="1"/>
  <c r="AI7" i="2"/>
  <c r="AJ7" i="2"/>
  <c r="AK7" i="2"/>
  <c r="AL7" i="2"/>
  <c r="AN7" i="2"/>
  <c r="AU7" i="2"/>
  <c r="AV7" i="2"/>
  <c r="CG7" i="2"/>
  <c r="CH7" i="2"/>
  <c r="CI7" i="2"/>
  <c r="CJ7" i="2"/>
  <c r="CK7" i="2"/>
  <c r="CL7" i="2"/>
  <c r="CM7" i="2"/>
  <c r="CN7" i="2"/>
  <c r="CO7" i="2"/>
  <c r="CP7" i="2"/>
  <c r="CQ7" i="2"/>
  <c r="CR7" i="2"/>
  <c r="CS7" i="2"/>
  <c r="CT7" i="2"/>
  <c r="CU7" i="2"/>
  <c r="CV7" i="2"/>
  <c r="CW7" i="2"/>
  <c r="CY7" i="2"/>
  <c r="CZ7" i="2"/>
  <c r="DA7" i="2"/>
  <c r="DB7" i="2"/>
  <c r="DC7" i="2"/>
  <c r="DD7" i="2"/>
  <c r="DE7" i="2"/>
  <c r="DF7" i="2"/>
  <c r="DG7" i="2"/>
  <c r="DI7" i="2"/>
  <c r="DJ7" i="2"/>
  <c r="DM7" i="2"/>
  <c r="DN7" i="2"/>
  <c r="DO7" i="2"/>
  <c r="DP7" i="2"/>
  <c r="DQ7" i="2"/>
  <c r="DR7" i="2"/>
  <c r="DS7" i="2"/>
  <c r="DT7" i="2"/>
  <c r="DU7" i="2"/>
  <c r="DV7" i="2"/>
  <c r="DW7" i="2"/>
  <c r="DX7" i="2"/>
  <c r="DY7" i="2"/>
  <c r="EA7" i="2"/>
  <c r="EB7" i="2"/>
  <c r="EE7" i="2"/>
  <c r="EF7" i="2"/>
  <c r="EG7" i="2"/>
  <c r="EH7" i="2"/>
  <c r="EI7" i="2"/>
  <c r="EJ7" i="2"/>
  <c r="EK7" i="2"/>
  <c r="EL7" i="2"/>
  <c r="EM7" i="2"/>
  <c r="EN7" i="2"/>
  <c r="S8" i="2"/>
  <c r="AF8" i="2"/>
  <c r="AG8" i="2"/>
  <c r="CX8" i="2" s="1"/>
  <c r="AH8" i="2"/>
  <c r="DH8" i="2" s="1"/>
  <c r="AI8" i="2"/>
  <c r="AJ8" i="2"/>
  <c r="AK8" i="2"/>
  <c r="AL8" i="2"/>
  <c r="AN8" i="2"/>
  <c r="AU8" i="2"/>
  <c r="AV8" i="2"/>
  <c r="CG8" i="2"/>
  <c r="CH8" i="2"/>
  <c r="CI8" i="2"/>
  <c r="CJ8" i="2"/>
  <c r="CK8" i="2"/>
  <c r="CL8" i="2"/>
  <c r="CM8" i="2"/>
  <c r="CN8" i="2"/>
  <c r="CO8" i="2"/>
  <c r="CP8" i="2"/>
  <c r="CQ8" i="2"/>
  <c r="CR8" i="2"/>
  <c r="CS8" i="2"/>
  <c r="CT8" i="2"/>
  <c r="CU8" i="2"/>
  <c r="CV8" i="2"/>
  <c r="CW8" i="2"/>
  <c r="CY8" i="2"/>
  <c r="CZ8" i="2"/>
  <c r="DA8" i="2"/>
  <c r="DB8" i="2"/>
  <c r="DC8" i="2"/>
  <c r="DD8" i="2"/>
  <c r="DE8" i="2"/>
  <c r="DF8" i="2"/>
  <c r="DG8" i="2"/>
  <c r="DI8" i="2"/>
  <c r="DJ8" i="2"/>
  <c r="DM8" i="2"/>
  <c r="DN8" i="2"/>
  <c r="DO8" i="2"/>
  <c r="DP8" i="2"/>
  <c r="DQ8" i="2"/>
  <c r="DR8" i="2"/>
  <c r="DS8" i="2"/>
  <c r="DT8" i="2"/>
  <c r="DU8" i="2"/>
  <c r="DV8" i="2"/>
  <c r="DW8" i="2"/>
  <c r="DX8" i="2"/>
  <c r="DY8" i="2"/>
  <c r="EA8" i="2"/>
  <c r="EB8" i="2"/>
  <c r="EE8" i="2"/>
  <c r="EF8" i="2"/>
  <c r="EG8" i="2"/>
  <c r="EH8" i="2"/>
  <c r="EI8" i="2"/>
  <c r="EJ8" i="2"/>
  <c r="EK8" i="2"/>
  <c r="EL8" i="2"/>
  <c r="EM8" i="2"/>
  <c r="EN8" i="2"/>
  <c r="S9" i="2"/>
  <c r="AF9" i="2"/>
  <c r="AG9" i="2"/>
  <c r="CX9" i="2" s="1"/>
  <c r="AH9" i="2"/>
  <c r="DH9" i="2" s="1"/>
  <c r="AI9" i="2"/>
  <c r="AJ9" i="2"/>
  <c r="AK9" i="2"/>
  <c r="AL9" i="2"/>
  <c r="AN9" i="2"/>
  <c r="AU9" i="2"/>
  <c r="AV9" i="2"/>
  <c r="CG9" i="2"/>
  <c r="CH9" i="2"/>
  <c r="CJ9" i="2"/>
  <c r="CK9" i="2"/>
  <c r="CL9" i="2"/>
  <c r="CN9" i="2"/>
  <c r="CR9" i="2"/>
  <c r="CS9" i="2"/>
  <c r="CT9" i="2"/>
  <c r="CU9" i="2"/>
  <c r="CV9" i="2"/>
  <c r="CW9" i="2"/>
  <c r="CZ9" i="2"/>
  <c r="DA9" i="2"/>
  <c r="DB9" i="2"/>
  <c r="DC9" i="2"/>
  <c r="DD9" i="2"/>
  <c r="DE9" i="2"/>
  <c r="DF9" i="2"/>
  <c r="DG9" i="2"/>
  <c r="DI9" i="2"/>
  <c r="DJ9" i="2"/>
  <c r="DM9" i="2"/>
  <c r="DN9" i="2"/>
  <c r="DO9" i="2"/>
  <c r="DP9" i="2"/>
  <c r="DQ9" i="2"/>
  <c r="DT9" i="2"/>
  <c r="DU9" i="2"/>
  <c r="DV9" i="2"/>
  <c r="DW9" i="2"/>
  <c r="DX9" i="2"/>
  <c r="DY9" i="2"/>
  <c r="EA9" i="2"/>
  <c r="EB9" i="2"/>
  <c r="EE9" i="2"/>
  <c r="EF9" i="2"/>
  <c r="EG9" i="2"/>
  <c r="AQ9" i="2" s="1"/>
  <c r="EH9" i="2"/>
  <c r="EI9" i="2"/>
  <c r="EJ9" i="2"/>
  <c r="EK9" i="2"/>
  <c r="DZ9" i="2" s="1"/>
  <c r="EL9" i="2"/>
  <c r="EM9" i="2"/>
  <c r="EN9" i="2"/>
  <c r="S10" i="2"/>
  <c r="AF10" i="2"/>
  <c r="AG10" i="2"/>
  <c r="CX10" i="2" s="1"/>
  <c r="AH10" i="2"/>
  <c r="DH10" i="2" s="1"/>
  <c r="AI10" i="2"/>
  <c r="AJ10" i="2"/>
  <c r="AK10" i="2"/>
  <c r="AL10" i="2"/>
  <c r="AN10" i="2"/>
  <c r="AU10" i="2"/>
  <c r="AV10" i="2"/>
  <c r="CG10" i="2"/>
  <c r="CH10" i="2"/>
  <c r="CU10" i="2"/>
  <c r="CV10" i="2"/>
  <c r="CW10" i="2"/>
  <c r="DB10" i="2"/>
  <c r="DC10" i="2"/>
  <c r="DG10" i="2"/>
  <c r="DT10" i="2"/>
  <c r="DU10" i="2"/>
  <c r="DW10" i="2"/>
  <c r="DX10" i="2"/>
  <c r="DY10" i="2"/>
  <c r="EA10" i="2"/>
  <c r="EB10" i="2"/>
  <c r="EE10" i="2"/>
  <c r="EF10" i="2"/>
  <c r="EG10" i="2"/>
  <c r="EH10" i="2"/>
  <c r="EI10" i="2"/>
  <c r="EJ10" i="2"/>
  <c r="EK10" i="2"/>
  <c r="DZ10" i="2" s="1"/>
  <c r="EL10" i="2"/>
  <c r="EM10" i="2"/>
  <c r="EN10" i="2"/>
  <c r="S11" i="2"/>
  <c r="AF11" i="2"/>
  <c r="AG11" i="2"/>
  <c r="CX11" i="2" s="1"/>
  <c r="AH11" i="2"/>
  <c r="DH11" i="2" s="1"/>
  <c r="AI11" i="2"/>
  <c r="AJ11" i="2"/>
  <c r="AK11" i="2"/>
  <c r="AL11" i="2"/>
  <c r="AN11" i="2"/>
  <c r="AU11" i="2"/>
  <c r="AV11" i="2"/>
  <c r="CG11" i="2"/>
  <c r="CH11" i="2"/>
  <c r="CU11" i="2"/>
  <c r="CV11" i="2"/>
  <c r="CW11" i="2"/>
  <c r="DB11" i="2"/>
  <c r="DC11" i="2"/>
  <c r="DG11" i="2"/>
  <c r="DT11" i="2"/>
  <c r="DU11" i="2"/>
  <c r="DW11" i="2"/>
  <c r="DX11" i="2"/>
  <c r="DY11" i="2"/>
  <c r="EA11" i="2"/>
  <c r="EB11" i="2"/>
  <c r="EE11" i="2"/>
  <c r="EF11" i="2"/>
  <c r="EG11" i="2"/>
  <c r="EH11" i="2"/>
  <c r="EI11" i="2"/>
  <c r="EJ11" i="2"/>
  <c r="EK11" i="2"/>
  <c r="DZ11" i="2" s="1"/>
  <c r="EL11" i="2"/>
  <c r="EM11" i="2"/>
  <c r="EN11" i="2"/>
  <c r="S12" i="2"/>
  <c r="Z12" i="2"/>
  <c r="AA12" i="2"/>
  <c r="AB12" i="2"/>
  <c r="AC12" i="2"/>
  <c r="AF12" i="2"/>
  <c r="AG12" i="2"/>
  <c r="CX12" i="2" s="1"/>
  <c r="AH12" i="2"/>
  <c r="DH12" i="2" s="1"/>
  <c r="AI12" i="2"/>
  <c r="AJ12" i="2"/>
  <c r="AK12" i="2"/>
  <c r="AL12" i="2"/>
  <c r="AN12" i="2"/>
  <c r="AU12" i="2"/>
  <c r="AV12" i="2"/>
  <c r="CG12" i="2"/>
  <c r="DK12" i="2" s="1"/>
  <c r="CH12" i="2"/>
  <c r="CJ12" i="2"/>
  <c r="CK12" i="2"/>
  <c r="CL12" i="2"/>
  <c r="CN12" i="2"/>
  <c r="CS12" i="2"/>
  <c r="CT12" i="2"/>
  <c r="CU12" i="2"/>
  <c r="CV12" i="2"/>
  <c r="CW12" i="2"/>
  <c r="CY12" i="2"/>
  <c r="CZ12" i="2"/>
  <c r="DA12" i="2"/>
  <c r="DB12" i="2"/>
  <c r="DC12" i="2"/>
  <c r="DD12" i="2"/>
  <c r="DE12" i="2"/>
  <c r="DF12" i="2"/>
  <c r="DG12" i="2"/>
  <c r="DI12" i="2"/>
  <c r="DJ12" i="2"/>
  <c r="DM12" i="2"/>
  <c r="DN12" i="2"/>
  <c r="DO12" i="2"/>
  <c r="DP12" i="2"/>
  <c r="DQ12" i="2"/>
  <c r="DT12" i="2"/>
  <c r="DU12" i="2"/>
  <c r="DV12" i="2"/>
  <c r="DW12" i="2"/>
  <c r="DX12" i="2"/>
  <c r="DY12" i="2"/>
  <c r="EA12" i="2"/>
  <c r="EB12" i="2"/>
  <c r="EE12" i="2"/>
  <c r="EF12" i="2"/>
  <c r="EG12" i="2"/>
  <c r="EH12" i="2"/>
  <c r="EI12" i="2"/>
  <c r="EJ12" i="2"/>
  <c r="EK12" i="2"/>
  <c r="DZ12" i="2" s="1"/>
  <c r="EL12" i="2"/>
  <c r="EM12" i="2"/>
  <c r="EN12" i="2"/>
  <c r="S13" i="2"/>
  <c r="AF13" i="2"/>
  <c r="AG13" i="2"/>
  <c r="CX13" i="2" s="1"/>
  <c r="AH13" i="2"/>
  <c r="DH13" i="2" s="1"/>
  <c r="AI13" i="2"/>
  <c r="AJ13" i="2"/>
  <c r="AK13" i="2"/>
  <c r="AL13" i="2"/>
  <c r="AN13" i="2"/>
  <c r="AU13" i="2"/>
  <c r="AV13" i="2"/>
  <c r="CG13" i="2"/>
  <c r="CH13" i="2"/>
  <c r="CI13" i="2"/>
  <c r="CJ13" i="2"/>
  <c r="CK13" i="2"/>
  <c r="CL13" i="2"/>
  <c r="CM13" i="2"/>
  <c r="CN13" i="2"/>
  <c r="CO13" i="2"/>
  <c r="CP13" i="2"/>
  <c r="CQ13" i="2"/>
  <c r="CR13" i="2"/>
  <c r="CS13" i="2"/>
  <c r="CT13" i="2"/>
  <c r="CU13" i="2"/>
  <c r="CV13" i="2"/>
  <c r="CW13" i="2"/>
  <c r="CY13" i="2"/>
  <c r="CZ13" i="2"/>
  <c r="DA13" i="2"/>
  <c r="DB13" i="2"/>
  <c r="DC13" i="2"/>
  <c r="DD13" i="2"/>
  <c r="DE13" i="2"/>
  <c r="DF13" i="2"/>
  <c r="DG13" i="2"/>
  <c r="DI13" i="2"/>
  <c r="DJ13" i="2"/>
  <c r="DM13" i="2"/>
  <c r="DN13" i="2"/>
  <c r="DO13" i="2"/>
  <c r="DP13" i="2"/>
  <c r="DQ13" i="2"/>
  <c r="DR13" i="2"/>
  <c r="DS13" i="2"/>
  <c r="DT13" i="2"/>
  <c r="DU13" i="2"/>
  <c r="DV13" i="2"/>
  <c r="DW13" i="2"/>
  <c r="DX13" i="2"/>
  <c r="DY13" i="2"/>
  <c r="EA13" i="2"/>
  <c r="EB13" i="2"/>
  <c r="EE13" i="2"/>
  <c r="EF13" i="2"/>
  <c r="EG13" i="2"/>
  <c r="EH13" i="2"/>
  <c r="EI13" i="2"/>
  <c r="EJ13" i="2"/>
  <c r="EK13" i="2"/>
  <c r="EL13" i="2"/>
  <c r="EM13" i="2"/>
  <c r="EN13" i="2"/>
  <c r="S14" i="2"/>
  <c r="AF14" i="2"/>
  <c r="AG14" i="2"/>
  <c r="AH14" i="2"/>
  <c r="AI14" i="2"/>
  <c r="AJ14" i="2"/>
  <c r="AK14" i="2"/>
  <c r="AL14" i="2"/>
  <c r="AN14" i="2"/>
  <c r="AU14" i="2"/>
  <c r="AV14" i="2"/>
  <c r="DC14" i="2"/>
  <c r="DT14" i="2"/>
  <c r="DY14" i="2"/>
  <c r="EE14" i="2"/>
  <c r="EF14" i="2"/>
  <c r="EG14" i="2"/>
  <c r="EH14" i="2"/>
  <c r="EI14" i="2"/>
  <c r="EJ14" i="2"/>
  <c r="EK14" i="2"/>
  <c r="EL14" i="2"/>
  <c r="EM14" i="2"/>
  <c r="EN14" i="2"/>
  <c r="S15" i="2"/>
  <c r="AF15" i="2"/>
  <c r="AG15" i="2"/>
  <c r="AH15" i="2"/>
  <c r="AI15" i="2"/>
  <c r="AJ15" i="2"/>
  <c r="AK15" i="2"/>
  <c r="AL15" i="2"/>
  <c r="AN15" i="2"/>
  <c r="AU15" i="2"/>
  <c r="AV15" i="2"/>
  <c r="EE15" i="2"/>
  <c r="EF15" i="2"/>
  <c r="EG15" i="2"/>
  <c r="EH15" i="2"/>
  <c r="EI15" i="2"/>
  <c r="EJ15" i="2"/>
  <c r="EK15" i="2"/>
  <c r="EL15" i="2"/>
  <c r="EM15" i="2"/>
  <c r="EN15" i="2"/>
  <c r="S16" i="2"/>
  <c r="AF16" i="2"/>
  <c r="AG16" i="2"/>
  <c r="CX16" i="2" s="1"/>
  <c r="AH16" i="2"/>
  <c r="DH16" i="2" s="1"/>
  <c r="AI16" i="2"/>
  <c r="AJ16" i="2"/>
  <c r="AK16" i="2"/>
  <c r="AL16" i="2"/>
  <c r="AN16" i="2"/>
  <c r="AU16" i="2"/>
  <c r="AV16" i="2"/>
  <c r="CG16" i="2"/>
  <c r="CH16" i="2"/>
  <c r="CJ16" i="2"/>
  <c r="CK16" i="2"/>
  <c r="CL16" i="2"/>
  <c r="CM16" i="2"/>
  <c r="CN16" i="2"/>
  <c r="CO16" i="2"/>
  <c r="CQ16" i="2"/>
  <c r="CS16" i="2"/>
  <c r="CT16" i="2"/>
  <c r="CU16" i="2"/>
  <c r="CV16" i="2"/>
  <c r="CW16" i="2"/>
  <c r="CY16" i="2"/>
  <c r="CZ16" i="2"/>
  <c r="DA16" i="2"/>
  <c r="DB16" i="2"/>
  <c r="DC16" i="2"/>
  <c r="DD16" i="2"/>
  <c r="DE16" i="2"/>
  <c r="DF16" i="2"/>
  <c r="DG16" i="2"/>
  <c r="DI16" i="2"/>
  <c r="DJ16" i="2"/>
  <c r="DM16" i="2"/>
  <c r="DN16" i="2"/>
  <c r="DO16" i="2"/>
  <c r="DP16" i="2"/>
  <c r="DQ16" i="2"/>
  <c r="DR16" i="2"/>
  <c r="DS16" i="2"/>
  <c r="DT16" i="2"/>
  <c r="DU16" i="2"/>
  <c r="DV16" i="2"/>
  <c r="DW16" i="2"/>
  <c r="DX16" i="2"/>
  <c r="DY16" i="2"/>
  <c r="EA16" i="2"/>
  <c r="EB16" i="2"/>
  <c r="EE16" i="2"/>
  <c r="EF16" i="2"/>
  <c r="EG16" i="2"/>
  <c r="EH16" i="2"/>
  <c r="EI16" i="2"/>
  <c r="EJ16" i="2"/>
  <c r="EK16" i="2"/>
  <c r="DZ16" i="2" s="1"/>
  <c r="EL16" i="2"/>
  <c r="EM16" i="2"/>
  <c r="EN16" i="2"/>
  <c r="S17" i="2"/>
  <c r="AF17" i="2"/>
  <c r="AG17" i="2"/>
  <c r="CX17" i="2" s="1"/>
  <c r="AH17" i="2"/>
  <c r="DH17" i="2" s="1"/>
  <c r="AI17" i="2"/>
  <c r="AJ17" i="2"/>
  <c r="AK17" i="2"/>
  <c r="AL17" i="2"/>
  <c r="AN17" i="2"/>
  <c r="AU17" i="2"/>
  <c r="AV17" i="2"/>
  <c r="CG17" i="2"/>
  <c r="CH17" i="2"/>
  <c r="CJ17" i="2"/>
  <c r="CK17" i="2"/>
  <c r="CL17" i="2"/>
  <c r="CM17" i="2"/>
  <c r="CN17" i="2"/>
  <c r="CO17" i="2"/>
  <c r="CQ17" i="2"/>
  <c r="CS17" i="2"/>
  <c r="CT17" i="2"/>
  <c r="CU17" i="2"/>
  <c r="CV17" i="2"/>
  <c r="CW17" i="2"/>
  <c r="CY17" i="2"/>
  <c r="CZ17" i="2"/>
  <c r="DA17" i="2"/>
  <c r="DB17" i="2"/>
  <c r="DC17" i="2"/>
  <c r="DD17" i="2"/>
  <c r="DE17" i="2"/>
  <c r="DF17" i="2"/>
  <c r="DG17" i="2"/>
  <c r="DI17" i="2"/>
  <c r="DJ17" i="2"/>
  <c r="DM17" i="2"/>
  <c r="DN17" i="2"/>
  <c r="DO17" i="2"/>
  <c r="DP17" i="2"/>
  <c r="DQ17" i="2"/>
  <c r="DR17" i="2"/>
  <c r="DS17" i="2"/>
  <c r="DT17" i="2"/>
  <c r="DU17" i="2"/>
  <c r="DV17" i="2"/>
  <c r="DW17" i="2"/>
  <c r="DX17" i="2"/>
  <c r="DY17" i="2"/>
  <c r="EA17" i="2"/>
  <c r="EB17" i="2"/>
  <c r="EE17" i="2"/>
  <c r="EF17" i="2"/>
  <c r="EG17" i="2"/>
  <c r="EH17" i="2"/>
  <c r="EI17" i="2"/>
  <c r="EJ17" i="2"/>
  <c r="EK17" i="2"/>
  <c r="EL17" i="2"/>
  <c r="EM17" i="2"/>
  <c r="EN17" i="2"/>
  <c r="S18" i="2"/>
  <c r="Z18" i="2"/>
  <c r="AA18" i="2"/>
  <c r="AB18" i="2"/>
  <c r="AC18" i="2"/>
  <c r="AF18" i="2"/>
  <c r="AG18" i="2"/>
  <c r="CX18" i="2" s="1"/>
  <c r="AH18" i="2"/>
  <c r="DH18" i="2" s="1"/>
  <c r="AI18" i="2"/>
  <c r="AJ18" i="2"/>
  <c r="AK18" i="2"/>
  <c r="AL18" i="2"/>
  <c r="AN18" i="2"/>
  <c r="AU18" i="2"/>
  <c r="AV18" i="2"/>
  <c r="CG18" i="2"/>
  <c r="CH18" i="2"/>
  <c r="CI18" i="2"/>
  <c r="CJ18" i="2"/>
  <c r="CK18" i="2"/>
  <c r="CL18" i="2"/>
  <c r="CM18" i="2"/>
  <c r="CN18" i="2"/>
  <c r="CO18" i="2"/>
  <c r="CQ18" i="2"/>
  <c r="CS18" i="2"/>
  <c r="CT18" i="2"/>
  <c r="CU18" i="2"/>
  <c r="CV18" i="2"/>
  <c r="CW18" i="2"/>
  <c r="CZ18" i="2"/>
  <c r="DA18" i="2"/>
  <c r="DB18" i="2"/>
  <c r="DC18" i="2"/>
  <c r="DF18" i="2"/>
  <c r="DG18" i="2"/>
  <c r="DI18" i="2"/>
  <c r="DJ18" i="2"/>
  <c r="DM18" i="2"/>
  <c r="DO18" i="2"/>
  <c r="DP18" i="2"/>
  <c r="DQ18" i="2"/>
  <c r="DR18" i="2"/>
  <c r="DS18" i="2"/>
  <c r="DT18" i="2"/>
  <c r="DU18" i="2"/>
  <c r="DW18" i="2"/>
  <c r="DX18" i="2"/>
  <c r="DY18" i="2"/>
  <c r="EB18" i="2"/>
  <c r="EE18" i="2"/>
  <c r="EF18" i="2"/>
  <c r="EG18" i="2"/>
  <c r="EH18" i="2"/>
  <c r="EI18" i="2"/>
  <c r="EJ18" i="2"/>
  <c r="EK18" i="2"/>
  <c r="DZ18" i="2" s="1"/>
  <c r="EL18" i="2"/>
  <c r="EM18" i="2"/>
  <c r="EN18" i="2"/>
  <c r="Z19" i="2"/>
  <c r="AA19" i="2"/>
  <c r="AB19" i="2"/>
  <c r="AC19" i="2"/>
  <c r="S20" i="2"/>
  <c r="AF20" i="2"/>
  <c r="AG20" i="2"/>
  <c r="AH20" i="2"/>
  <c r="AI20" i="2"/>
  <c r="AJ20" i="2"/>
  <c r="AK20" i="2"/>
  <c r="AL20" i="2"/>
  <c r="AN20" i="2"/>
  <c r="AU20" i="2"/>
  <c r="AV20" i="2"/>
  <c r="DT20" i="2"/>
  <c r="EE20" i="2"/>
  <c r="EF20" i="2"/>
  <c r="EG20" i="2"/>
  <c r="EH20" i="2"/>
  <c r="EI20" i="2"/>
  <c r="EJ20" i="2"/>
  <c r="EK20" i="2"/>
  <c r="EL20" i="2"/>
  <c r="EM20" i="2"/>
  <c r="EN20" i="2"/>
  <c r="S21" i="2"/>
  <c r="AF21" i="2"/>
  <c r="AG21" i="2"/>
  <c r="CX21" i="2" s="1"/>
  <c r="AH21" i="2"/>
  <c r="AI21" i="2"/>
  <c r="AJ21" i="2"/>
  <c r="AK21" i="2"/>
  <c r="AL21" i="2"/>
  <c r="AN21" i="2"/>
  <c r="AU21" i="2"/>
  <c r="AV21" i="2"/>
  <c r="CH21" i="2"/>
  <c r="CU21" i="2"/>
  <c r="DB21" i="2"/>
  <c r="DC21" i="2"/>
  <c r="DG21" i="2"/>
  <c r="DT21" i="2"/>
  <c r="DU21" i="2"/>
  <c r="DW21" i="2"/>
  <c r="DX21" i="2"/>
  <c r="DY21" i="2"/>
  <c r="EB21" i="2"/>
  <c r="EE21" i="2"/>
  <c r="EF21" i="2"/>
  <c r="EG21" i="2"/>
  <c r="EH21" i="2"/>
  <c r="EI21" i="2"/>
  <c r="EJ21" i="2"/>
  <c r="EK21" i="2"/>
  <c r="DZ21" i="2" s="1"/>
  <c r="EL21" i="2"/>
  <c r="EM21" i="2"/>
  <c r="EN21" i="2"/>
  <c r="AJ22" i="2"/>
  <c r="AK22" i="2"/>
  <c r="AL22" i="2"/>
  <c r="AU22" i="2"/>
  <c r="CH22" i="2"/>
  <c r="DC22" i="2"/>
  <c r="S23" i="2"/>
  <c r="AF23" i="2"/>
  <c r="AG23" i="2"/>
  <c r="AH23" i="2"/>
  <c r="AI23" i="2"/>
  <c r="AJ23" i="2"/>
  <c r="AK23" i="2"/>
  <c r="AL23" i="2"/>
  <c r="AN23" i="2"/>
  <c r="AU23" i="2"/>
  <c r="AV23" i="2"/>
  <c r="EE23" i="2"/>
  <c r="EF23" i="2"/>
  <c r="EG23" i="2"/>
  <c r="EH23" i="2"/>
  <c r="EI23" i="2"/>
  <c r="EJ23" i="2"/>
  <c r="EK23" i="2"/>
  <c r="AM23" i="2" s="1"/>
  <c r="EL23" i="2"/>
  <c r="EM23" i="2"/>
  <c r="EN23" i="2"/>
  <c r="S24" i="2"/>
  <c r="AF24" i="2"/>
  <c r="AG24" i="2"/>
  <c r="AH24" i="2"/>
  <c r="AI24" i="2"/>
  <c r="AJ24" i="2"/>
  <c r="AK24" i="2"/>
  <c r="AL24" i="2"/>
  <c r="AN24" i="2"/>
  <c r="AU24" i="2"/>
  <c r="AV24" i="2"/>
  <c r="EE24" i="2"/>
  <c r="EF24" i="2"/>
  <c r="EG24" i="2"/>
  <c r="AS24" i="2" s="1"/>
  <c r="EH24" i="2"/>
  <c r="EI24" i="2"/>
  <c r="EJ24" i="2"/>
  <c r="EK24" i="2"/>
  <c r="EL24" i="2"/>
  <c r="EM24" i="2"/>
  <c r="EN24" i="2"/>
  <c r="S25" i="2"/>
  <c r="AF25" i="2"/>
  <c r="AG25" i="2"/>
  <c r="AH25" i="2"/>
  <c r="AI25" i="2"/>
  <c r="AJ25" i="2"/>
  <c r="AK25" i="2"/>
  <c r="AL25" i="2"/>
  <c r="AN25" i="2"/>
  <c r="AU25" i="2"/>
  <c r="AV25" i="2"/>
  <c r="EE25" i="2"/>
  <c r="EF25" i="2"/>
  <c r="EG25" i="2"/>
  <c r="EH25" i="2"/>
  <c r="EI25" i="2"/>
  <c r="EJ25" i="2"/>
  <c r="EK25" i="2"/>
  <c r="AM25" i="2" s="1"/>
  <c r="EL25" i="2"/>
  <c r="EM25" i="2"/>
  <c r="EN25" i="2"/>
  <c r="S28" i="2"/>
  <c r="AF28" i="2"/>
  <c r="AG28" i="2"/>
  <c r="CX28" i="2" s="1"/>
  <c r="AH28" i="2"/>
  <c r="DH28" i="2" s="1"/>
  <c r="AI28" i="2"/>
  <c r="AJ28" i="2"/>
  <c r="AK28" i="2"/>
  <c r="AL28" i="2"/>
  <c r="AN28" i="2"/>
  <c r="AU28" i="2"/>
  <c r="AV28" i="2"/>
  <c r="CG28" i="2"/>
  <c r="CH28" i="2"/>
  <c r="CI28" i="2"/>
  <c r="CJ28" i="2"/>
  <c r="CK28" i="2"/>
  <c r="CL28" i="2"/>
  <c r="CM28" i="2"/>
  <c r="CN28" i="2"/>
  <c r="CO28" i="2"/>
  <c r="CP28" i="2"/>
  <c r="CQ28" i="2"/>
  <c r="CR28" i="2"/>
  <c r="CS28" i="2"/>
  <c r="CT28" i="2"/>
  <c r="CU28" i="2"/>
  <c r="CV28" i="2"/>
  <c r="CW28" i="2"/>
  <c r="CY28" i="2"/>
  <c r="CZ28" i="2"/>
  <c r="DA28" i="2"/>
  <c r="DB28" i="2"/>
  <c r="DC28" i="2"/>
  <c r="DD28" i="2"/>
  <c r="DE28" i="2"/>
  <c r="DF28" i="2"/>
  <c r="DG28" i="2"/>
  <c r="DI28" i="2"/>
  <c r="DJ28" i="2"/>
  <c r="DM28" i="2"/>
  <c r="DN28" i="2"/>
  <c r="DO28" i="2"/>
  <c r="DP28" i="2"/>
  <c r="DQ28" i="2"/>
  <c r="DR28" i="2"/>
  <c r="DS28" i="2"/>
  <c r="DT28" i="2"/>
  <c r="DU28" i="2"/>
  <c r="DV28" i="2"/>
  <c r="DW28" i="2"/>
  <c r="DX28" i="2"/>
  <c r="DY28" i="2"/>
  <c r="EA28" i="2"/>
  <c r="EB28" i="2"/>
  <c r="EE28" i="2"/>
  <c r="EF28" i="2"/>
  <c r="EG28" i="2"/>
  <c r="EH28" i="2"/>
  <c r="EI28" i="2"/>
  <c r="EJ28" i="2"/>
  <c r="EK28" i="2"/>
  <c r="EL28" i="2"/>
  <c r="EM28" i="2"/>
  <c r="EN28" i="2"/>
  <c r="S29" i="2"/>
  <c r="AF29" i="2"/>
  <c r="AG29" i="2"/>
  <c r="CX29" i="2" s="1"/>
  <c r="AH29" i="2"/>
  <c r="DH29" i="2" s="1"/>
  <c r="AI29" i="2"/>
  <c r="AJ29" i="2"/>
  <c r="AK29" i="2"/>
  <c r="AL29" i="2"/>
  <c r="AN29" i="2"/>
  <c r="AU29" i="2"/>
  <c r="AV29" i="2"/>
  <c r="CG29" i="2"/>
  <c r="CH29" i="2"/>
  <c r="CI29" i="2"/>
  <c r="CJ29" i="2"/>
  <c r="CK29" i="2"/>
  <c r="CL29" i="2"/>
  <c r="CM29" i="2"/>
  <c r="CN29" i="2"/>
  <c r="CO29" i="2"/>
  <c r="CP29" i="2"/>
  <c r="CQ29" i="2"/>
  <c r="CR29" i="2"/>
  <c r="CS29" i="2"/>
  <c r="CT29" i="2"/>
  <c r="CU29" i="2"/>
  <c r="CV29" i="2"/>
  <c r="CW29" i="2"/>
  <c r="CY29" i="2"/>
  <c r="CZ29" i="2"/>
  <c r="DA29" i="2"/>
  <c r="DB29" i="2"/>
  <c r="DC29" i="2"/>
  <c r="DD29" i="2"/>
  <c r="DE29" i="2"/>
  <c r="DF29" i="2"/>
  <c r="DG29" i="2"/>
  <c r="DI29" i="2"/>
  <c r="DJ29" i="2"/>
  <c r="DM29" i="2"/>
  <c r="DN29" i="2"/>
  <c r="DO29" i="2"/>
  <c r="DP29" i="2"/>
  <c r="DQ29" i="2"/>
  <c r="DR29" i="2"/>
  <c r="DS29" i="2"/>
  <c r="DT29" i="2"/>
  <c r="DU29" i="2"/>
  <c r="DV29" i="2"/>
  <c r="DW29" i="2"/>
  <c r="DX29" i="2"/>
  <c r="DY29" i="2"/>
  <c r="EA29" i="2"/>
  <c r="EB29" i="2"/>
  <c r="EE29" i="2"/>
  <c r="EF29" i="2"/>
  <c r="EG29" i="2"/>
  <c r="EH29" i="2"/>
  <c r="EI29" i="2"/>
  <c r="EJ29" i="2"/>
  <c r="EK29" i="2"/>
  <c r="EL29" i="2"/>
  <c r="EM29" i="2"/>
  <c r="EN29" i="2"/>
  <c r="AJ30" i="2"/>
  <c r="AK30" i="2"/>
  <c r="AL30" i="2"/>
  <c r="CH30" i="2"/>
  <c r="S31" i="2"/>
  <c r="AF31" i="2"/>
  <c r="AG31" i="2"/>
  <c r="CX31" i="2" s="1"/>
  <c r="AH31" i="2"/>
  <c r="DH31" i="2" s="1"/>
  <c r="AI31" i="2"/>
  <c r="AJ31" i="2"/>
  <c r="AK31" i="2"/>
  <c r="AL31" i="2"/>
  <c r="AN31" i="2"/>
  <c r="AU31" i="2"/>
  <c r="AV31" i="2"/>
  <c r="CG31" i="2"/>
  <c r="CH31" i="2"/>
  <c r="CJ31" i="2"/>
  <c r="CK31" i="2"/>
  <c r="DL31" i="2" s="1"/>
  <c r="CL31" i="2"/>
  <c r="CN31" i="2"/>
  <c r="CS31" i="2"/>
  <c r="CT31" i="2"/>
  <c r="CU31" i="2"/>
  <c r="CV31" i="2"/>
  <c r="CW31" i="2"/>
  <c r="CZ31" i="2"/>
  <c r="DA31" i="2"/>
  <c r="DB31" i="2"/>
  <c r="DC31" i="2"/>
  <c r="DD31" i="2"/>
  <c r="DE31" i="2"/>
  <c r="DF31" i="2"/>
  <c r="DG31" i="2"/>
  <c r="DI31" i="2"/>
  <c r="DJ31" i="2"/>
  <c r="DM31" i="2"/>
  <c r="DN31" i="2"/>
  <c r="DO31" i="2"/>
  <c r="DP31" i="2"/>
  <c r="DQ31" i="2"/>
  <c r="DT31" i="2"/>
  <c r="DU31" i="2"/>
  <c r="DV31" i="2"/>
  <c r="DW31" i="2"/>
  <c r="DX31" i="2"/>
  <c r="DY31" i="2"/>
  <c r="EA31" i="2"/>
  <c r="EB31" i="2"/>
  <c r="EE31" i="2"/>
  <c r="EF31" i="2"/>
  <c r="EG31" i="2"/>
  <c r="EH31" i="2"/>
  <c r="EI31" i="2"/>
  <c r="EJ31" i="2"/>
  <c r="EK31" i="2"/>
  <c r="EL31" i="2"/>
  <c r="EM31" i="2"/>
  <c r="EN31" i="2"/>
  <c r="S32" i="2"/>
  <c r="AF32" i="2"/>
  <c r="AG32" i="2"/>
  <c r="CX32" i="2" s="1"/>
  <c r="AH32" i="2"/>
  <c r="DH32" i="2" s="1"/>
  <c r="AI32" i="2"/>
  <c r="AJ32" i="2"/>
  <c r="AK32" i="2"/>
  <c r="AL32" i="2"/>
  <c r="AN32" i="2"/>
  <c r="AU32" i="2"/>
  <c r="AV32" i="2"/>
  <c r="CG32" i="2"/>
  <c r="CH32" i="2"/>
  <c r="CJ32" i="2"/>
  <c r="CK32" i="2"/>
  <c r="CL32" i="2"/>
  <c r="CN32" i="2"/>
  <c r="CS32" i="2"/>
  <c r="CT32" i="2"/>
  <c r="CU32" i="2"/>
  <c r="CV32" i="2"/>
  <c r="CW32" i="2"/>
  <c r="DA32" i="2"/>
  <c r="DB32" i="2"/>
  <c r="DC32" i="2"/>
  <c r="DD32" i="2"/>
  <c r="DE32" i="2"/>
  <c r="DF32" i="2"/>
  <c r="DG32" i="2"/>
  <c r="DJ32" i="2"/>
  <c r="DM32" i="2"/>
  <c r="DN32" i="2"/>
  <c r="DO32" i="2"/>
  <c r="DP32" i="2"/>
  <c r="DQ32" i="2"/>
  <c r="DT32" i="2"/>
  <c r="DU32" i="2"/>
  <c r="DV32" i="2"/>
  <c r="DW32" i="2"/>
  <c r="DX32" i="2"/>
  <c r="DY32" i="2"/>
  <c r="EA32" i="2"/>
  <c r="EB32" i="2"/>
  <c r="EE32" i="2"/>
  <c r="EF32" i="2"/>
  <c r="EG32" i="2"/>
  <c r="EH32" i="2"/>
  <c r="EI32" i="2"/>
  <c r="EJ32" i="2"/>
  <c r="EK32" i="2"/>
  <c r="DZ32" i="2" s="1"/>
  <c r="EL32" i="2"/>
  <c r="EM32" i="2"/>
  <c r="EN32" i="2"/>
  <c r="S33" i="2"/>
  <c r="Z33" i="2"/>
  <c r="AA33" i="2"/>
  <c r="AB33" i="2"/>
  <c r="AC33" i="2"/>
  <c r="AF33" i="2"/>
  <c r="AG33" i="2"/>
  <c r="CX33" i="2" s="1"/>
  <c r="AH33" i="2"/>
  <c r="DH33" i="2" s="1"/>
  <c r="AI33" i="2"/>
  <c r="AJ33" i="2"/>
  <c r="AK33" i="2"/>
  <c r="AL33" i="2"/>
  <c r="AN33" i="2"/>
  <c r="AU33" i="2"/>
  <c r="AV33" i="2"/>
  <c r="CG33" i="2"/>
  <c r="CH33" i="2"/>
  <c r="CJ33" i="2"/>
  <c r="CK33" i="2"/>
  <c r="CL33" i="2"/>
  <c r="CN33" i="2"/>
  <c r="CS33" i="2"/>
  <c r="CT33" i="2"/>
  <c r="CU33" i="2"/>
  <c r="CV33" i="2"/>
  <c r="CW33" i="2"/>
  <c r="CY33" i="2"/>
  <c r="CZ33" i="2"/>
  <c r="DA33" i="2"/>
  <c r="DB33" i="2"/>
  <c r="DC33" i="2"/>
  <c r="DD33" i="2"/>
  <c r="DE33" i="2"/>
  <c r="DF33" i="2"/>
  <c r="DG33" i="2"/>
  <c r="DI33" i="2"/>
  <c r="DJ33" i="2"/>
  <c r="DM33" i="2"/>
  <c r="DN33" i="2"/>
  <c r="DO33" i="2"/>
  <c r="DP33" i="2"/>
  <c r="DQ33" i="2"/>
  <c r="DT33" i="2"/>
  <c r="DU33" i="2"/>
  <c r="DV33" i="2"/>
  <c r="DW33" i="2"/>
  <c r="DX33" i="2"/>
  <c r="DY33" i="2"/>
  <c r="EA33" i="2"/>
  <c r="EB33" i="2"/>
  <c r="EE33" i="2"/>
  <c r="EF33" i="2"/>
  <c r="EG33" i="2"/>
  <c r="EH33" i="2"/>
  <c r="EI33" i="2"/>
  <c r="EJ33" i="2"/>
  <c r="EK33" i="2"/>
  <c r="EL33" i="2"/>
  <c r="EM33" i="2"/>
  <c r="EN33" i="2"/>
  <c r="Z34" i="2"/>
  <c r="AA34" i="2"/>
  <c r="AB34" i="2"/>
  <c r="AC34" i="2"/>
  <c r="S35" i="2"/>
  <c r="AF35" i="2"/>
  <c r="AG35" i="2"/>
  <c r="CX35" i="2" s="1"/>
  <c r="AH35" i="2"/>
  <c r="DH35" i="2" s="1"/>
  <c r="AI35" i="2"/>
  <c r="AJ35" i="2"/>
  <c r="AK35" i="2"/>
  <c r="AL35" i="2"/>
  <c r="AN35" i="2"/>
  <c r="AU35" i="2"/>
  <c r="AV35" i="2"/>
  <c r="CG35" i="2"/>
  <c r="CH35" i="2"/>
  <c r="CI35" i="2"/>
  <c r="CJ35" i="2"/>
  <c r="CK35" i="2"/>
  <c r="CL35" i="2"/>
  <c r="CM35" i="2"/>
  <c r="CN35" i="2"/>
  <c r="CO35" i="2"/>
  <c r="CP35" i="2"/>
  <c r="CQ35" i="2"/>
  <c r="CR35" i="2"/>
  <c r="CS35" i="2"/>
  <c r="CT35" i="2"/>
  <c r="CU35" i="2"/>
  <c r="CV35" i="2"/>
  <c r="CW35" i="2"/>
  <c r="CY35" i="2"/>
  <c r="CZ35" i="2"/>
  <c r="DA35" i="2"/>
  <c r="DB35" i="2"/>
  <c r="DC35" i="2"/>
  <c r="DD35" i="2"/>
  <c r="DE35" i="2"/>
  <c r="DF35" i="2"/>
  <c r="DG35" i="2"/>
  <c r="DI35" i="2"/>
  <c r="DJ35" i="2"/>
  <c r="DM35" i="2"/>
  <c r="DN35" i="2"/>
  <c r="DO35" i="2"/>
  <c r="DP35" i="2"/>
  <c r="DQ35" i="2"/>
  <c r="DR35" i="2"/>
  <c r="DS35" i="2"/>
  <c r="DT35" i="2"/>
  <c r="DU35" i="2"/>
  <c r="DV35" i="2"/>
  <c r="DW35" i="2"/>
  <c r="DX35" i="2"/>
  <c r="DY35" i="2"/>
  <c r="EA35" i="2"/>
  <c r="EB35" i="2"/>
  <c r="EE35" i="2"/>
  <c r="EF35" i="2"/>
  <c r="EG35" i="2"/>
  <c r="EH35" i="2"/>
  <c r="EI35" i="2"/>
  <c r="EJ35" i="2"/>
  <c r="EK35" i="2"/>
  <c r="DZ35" i="2" s="1"/>
  <c r="EL35" i="2"/>
  <c r="EM35" i="2"/>
  <c r="EN35" i="2"/>
  <c r="S36" i="2"/>
  <c r="AF36" i="2"/>
  <c r="AG36" i="2"/>
  <c r="CX36" i="2" s="1"/>
  <c r="AH36" i="2"/>
  <c r="DH36" i="2" s="1"/>
  <c r="AI36" i="2"/>
  <c r="AJ36" i="2"/>
  <c r="AK36" i="2"/>
  <c r="AL36" i="2"/>
  <c r="AN36" i="2"/>
  <c r="AU36" i="2"/>
  <c r="AV36" i="2"/>
  <c r="CG36" i="2"/>
  <c r="CH36" i="2"/>
  <c r="CU36" i="2"/>
  <c r="CV36" i="2"/>
  <c r="CW36" i="2"/>
  <c r="CY36" i="2"/>
  <c r="DB36" i="2"/>
  <c r="DC36" i="2"/>
  <c r="DG36" i="2"/>
  <c r="DT36" i="2"/>
  <c r="DU36" i="2"/>
  <c r="DW36" i="2"/>
  <c r="DX36" i="2"/>
  <c r="DY36" i="2"/>
  <c r="EB36" i="2"/>
  <c r="EE36" i="2"/>
  <c r="EF36" i="2"/>
  <c r="EG36" i="2"/>
  <c r="EH36" i="2"/>
  <c r="EI36" i="2"/>
  <c r="EJ36" i="2"/>
  <c r="EK36" i="2"/>
  <c r="DZ36" i="2" s="1"/>
  <c r="EL36" i="2"/>
  <c r="EM36" i="2"/>
  <c r="EN36" i="2"/>
  <c r="S37" i="2"/>
  <c r="AF37" i="2"/>
  <c r="AG37" i="2"/>
  <c r="CX37" i="2" s="1"/>
  <c r="AH37" i="2"/>
  <c r="DH37" i="2" s="1"/>
  <c r="AI37" i="2"/>
  <c r="AJ37" i="2"/>
  <c r="AK37" i="2"/>
  <c r="AL37" i="2"/>
  <c r="AN37" i="2"/>
  <c r="AU37" i="2"/>
  <c r="AV37" i="2"/>
  <c r="CG37" i="2"/>
  <c r="CH37" i="2"/>
  <c r="CU37" i="2"/>
  <c r="CV37" i="2"/>
  <c r="CW37" i="2"/>
  <c r="CY37" i="2"/>
  <c r="DB37" i="2"/>
  <c r="DC37" i="2"/>
  <c r="DG37" i="2"/>
  <c r="DT37" i="2"/>
  <c r="DU37" i="2"/>
  <c r="DW37" i="2"/>
  <c r="DX37" i="2"/>
  <c r="DY37" i="2"/>
  <c r="EB37" i="2"/>
  <c r="EE37" i="2"/>
  <c r="EF37" i="2"/>
  <c r="EG37" i="2"/>
  <c r="EH37" i="2"/>
  <c r="EI37" i="2"/>
  <c r="EJ37" i="2"/>
  <c r="EK37" i="2"/>
  <c r="DZ37" i="2" s="1"/>
  <c r="EL37" i="2"/>
  <c r="EM37" i="2"/>
  <c r="EN37" i="2"/>
  <c r="S38" i="2"/>
  <c r="AF38" i="2"/>
  <c r="AG38" i="2"/>
  <c r="CX38" i="2" s="1"/>
  <c r="AH38" i="2"/>
  <c r="DH38" i="2" s="1"/>
  <c r="AI38" i="2"/>
  <c r="AJ38" i="2"/>
  <c r="AK38" i="2"/>
  <c r="AL38" i="2"/>
  <c r="AN38" i="2"/>
  <c r="AU38" i="2"/>
  <c r="AV38" i="2"/>
  <c r="CG38" i="2"/>
  <c r="CH38" i="2"/>
  <c r="CU38" i="2"/>
  <c r="CV38" i="2"/>
  <c r="CW38" i="2"/>
  <c r="CY38" i="2"/>
  <c r="DB38" i="2"/>
  <c r="DC38" i="2"/>
  <c r="DG38" i="2"/>
  <c r="DT38" i="2"/>
  <c r="DU38" i="2"/>
  <c r="DW38" i="2"/>
  <c r="DX38" i="2"/>
  <c r="DY38" i="2"/>
  <c r="EB38" i="2"/>
  <c r="EE38" i="2"/>
  <c r="EF38" i="2"/>
  <c r="EG38" i="2"/>
  <c r="EH38" i="2"/>
  <c r="EI38" i="2"/>
  <c r="EJ38" i="2"/>
  <c r="EK38" i="2"/>
  <c r="EL38" i="2"/>
  <c r="EM38" i="2"/>
  <c r="EN38" i="2"/>
  <c r="S39" i="2"/>
  <c r="AF39" i="2"/>
  <c r="AG39" i="2"/>
  <c r="CX39" i="2" s="1"/>
  <c r="AH39" i="2"/>
  <c r="DH39" i="2" s="1"/>
  <c r="AI39" i="2"/>
  <c r="AJ39" i="2"/>
  <c r="AK39" i="2"/>
  <c r="AL39" i="2"/>
  <c r="AN39" i="2"/>
  <c r="AU39" i="2"/>
  <c r="AV39" i="2"/>
  <c r="CG39" i="2"/>
  <c r="CH39" i="2"/>
  <c r="CU39" i="2"/>
  <c r="CV39" i="2"/>
  <c r="CW39" i="2"/>
  <c r="CY39" i="2"/>
  <c r="DB39" i="2"/>
  <c r="DC39" i="2"/>
  <c r="DG39" i="2"/>
  <c r="DT39" i="2"/>
  <c r="DU39" i="2"/>
  <c r="DW39" i="2"/>
  <c r="DX39" i="2"/>
  <c r="DY39" i="2"/>
  <c r="EB39" i="2"/>
  <c r="EE39" i="2"/>
  <c r="EF39" i="2"/>
  <c r="EG39" i="2"/>
  <c r="EH39" i="2"/>
  <c r="EI39" i="2"/>
  <c r="EJ39" i="2"/>
  <c r="EK39" i="2"/>
  <c r="DZ39" i="2" s="1"/>
  <c r="EL39" i="2"/>
  <c r="EM39" i="2"/>
  <c r="EN39" i="2"/>
  <c r="S40" i="2"/>
  <c r="AF40" i="2"/>
  <c r="AG40" i="2"/>
  <c r="CX40" i="2" s="1"/>
  <c r="AH40" i="2"/>
  <c r="DH40" i="2" s="1"/>
  <c r="AI40" i="2"/>
  <c r="AJ40" i="2"/>
  <c r="AK40" i="2"/>
  <c r="AL40" i="2"/>
  <c r="AN40" i="2"/>
  <c r="AU40" i="2"/>
  <c r="AV40" i="2"/>
  <c r="CG40" i="2"/>
  <c r="CH40" i="2"/>
  <c r="CI40" i="2"/>
  <c r="CJ40" i="2"/>
  <c r="CK40" i="2"/>
  <c r="CL40" i="2"/>
  <c r="CM40" i="2"/>
  <c r="CN40" i="2"/>
  <c r="CO40" i="2"/>
  <c r="CP40" i="2"/>
  <c r="CQ40" i="2"/>
  <c r="CR40" i="2"/>
  <c r="CS40" i="2"/>
  <c r="CT40" i="2"/>
  <c r="CU40" i="2"/>
  <c r="CV40" i="2"/>
  <c r="CW40" i="2"/>
  <c r="CY40" i="2"/>
  <c r="DA40" i="2"/>
  <c r="DB40" i="2"/>
  <c r="DC40" i="2"/>
  <c r="DF40" i="2"/>
  <c r="DG40" i="2"/>
  <c r="DJ40" i="2"/>
  <c r="DM40" i="2"/>
  <c r="DO40" i="2"/>
  <c r="DP40" i="2"/>
  <c r="DQ40" i="2"/>
  <c r="DR40" i="2"/>
  <c r="DS40" i="2"/>
  <c r="DT40" i="2"/>
  <c r="DU40" i="2"/>
  <c r="DW40" i="2"/>
  <c r="DX40" i="2"/>
  <c r="DY40" i="2"/>
  <c r="EB40" i="2"/>
  <c r="EE40" i="2"/>
  <c r="EF40" i="2"/>
  <c r="EG40" i="2"/>
  <c r="EH40" i="2"/>
  <c r="EI40" i="2"/>
  <c r="EJ40" i="2"/>
  <c r="EK40" i="2"/>
  <c r="EL40" i="2"/>
  <c r="EM40" i="2"/>
  <c r="EN40" i="2"/>
  <c r="S41" i="2"/>
  <c r="AF41" i="2"/>
  <c r="AG41" i="2"/>
  <c r="CX41" i="2" s="1"/>
  <c r="AH41" i="2"/>
  <c r="DH41" i="2" s="1"/>
  <c r="AI41" i="2"/>
  <c r="AJ41" i="2"/>
  <c r="AK41" i="2"/>
  <c r="AL41" i="2"/>
  <c r="AN41" i="2"/>
  <c r="AU41" i="2"/>
  <c r="AV41" i="2"/>
  <c r="CG41" i="2"/>
  <c r="CH41" i="2"/>
  <c r="CU41" i="2"/>
  <c r="CV41" i="2"/>
  <c r="CW41" i="2"/>
  <c r="CY41" i="2"/>
  <c r="DB41" i="2"/>
  <c r="DC41" i="2"/>
  <c r="DG41" i="2"/>
  <c r="DT41" i="2"/>
  <c r="DU41" i="2"/>
  <c r="DW41" i="2"/>
  <c r="DX41" i="2"/>
  <c r="DY41" i="2"/>
  <c r="EB41" i="2"/>
  <c r="EE41" i="2"/>
  <c r="EF41" i="2"/>
  <c r="EG41" i="2"/>
  <c r="EH41" i="2"/>
  <c r="EI41" i="2"/>
  <c r="EJ41" i="2"/>
  <c r="EK41" i="2"/>
  <c r="DZ41" i="2" s="1"/>
  <c r="EL41" i="2"/>
  <c r="EM41" i="2"/>
  <c r="EN41" i="2"/>
  <c r="S42" i="2"/>
  <c r="AF42" i="2"/>
  <c r="AG42" i="2"/>
  <c r="CX42" i="2" s="1"/>
  <c r="AH42" i="2"/>
  <c r="DH42" i="2" s="1"/>
  <c r="AI42" i="2"/>
  <c r="AJ42" i="2"/>
  <c r="AK42" i="2"/>
  <c r="AL42" i="2"/>
  <c r="AN42" i="2"/>
  <c r="AU42" i="2"/>
  <c r="AV42" i="2"/>
  <c r="CG42" i="2"/>
  <c r="CH42" i="2"/>
  <c r="CU42" i="2"/>
  <c r="CV42" i="2"/>
  <c r="CW42" i="2"/>
  <c r="DB42" i="2"/>
  <c r="DC42" i="2"/>
  <c r="DG42" i="2"/>
  <c r="DT42" i="2"/>
  <c r="DU42" i="2"/>
  <c r="DW42" i="2"/>
  <c r="DX42" i="2"/>
  <c r="DY42" i="2"/>
  <c r="EB42" i="2"/>
  <c r="EE42" i="2"/>
  <c r="EF42" i="2"/>
  <c r="EG42" i="2"/>
  <c r="EH42" i="2"/>
  <c r="EI42" i="2"/>
  <c r="EJ42" i="2"/>
  <c r="EK42" i="2"/>
  <c r="DZ42" i="2" s="1"/>
  <c r="EL42" i="2"/>
  <c r="EM42" i="2"/>
  <c r="EN42" i="2"/>
  <c r="S43" i="2"/>
  <c r="AF43" i="2"/>
  <c r="AG43" i="2"/>
  <c r="CX43" i="2" s="1"/>
  <c r="AH43" i="2"/>
  <c r="DH43" i="2" s="1"/>
  <c r="AI43" i="2"/>
  <c r="AJ43" i="2"/>
  <c r="AK43" i="2"/>
  <c r="AL43" i="2"/>
  <c r="AN43" i="2"/>
  <c r="AU43" i="2"/>
  <c r="AV43" i="2"/>
  <c r="CG43" i="2"/>
  <c r="CH43" i="2"/>
  <c r="CU43" i="2"/>
  <c r="CV43" i="2"/>
  <c r="CW43" i="2"/>
  <c r="DB43" i="2"/>
  <c r="DC43" i="2"/>
  <c r="DG43" i="2"/>
  <c r="DI43" i="2"/>
  <c r="DT43" i="2"/>
  <c r="DU43" i="2"/>
  <c r="DW43" i="2"/>
  <c r="DX43" i="2"/>
  <c r="DY43" i="2"/>
  <c r="EB43" i="2"/>
  <c r="EE43" i="2"/>
  <c r="EF43" i="2"/>
  <c r="EG43" i="2"/>
  <c r="EH43" i="2"/>
  <c r="EI43" i="2"/>
  <c r="EJ43" i="2"/>
  <c r="EK43" i="2"/>
  <c r="EL43" i="2"/>
  <c r="EM43" i="2"/>
  <c r="EN43" i="2"/>
  <c r="S44" i="2"/>
  <c r="AF44" i="2"/>
  <c r="AG44" i="2"/>
  <c r="CX44" i="2" s="1"/>
  <c r="AH44" i="2"/>
  <c r="DH44" i="2" s="1"/>
  <c r="AI44" i="2"/>
  <c r="AJ44" i="2"/>
  <c r="AK44" i="2"/>
  <c r="AL44" i="2"/>
  <c r="AN44" i="2"/>
  <c r="AU44" i="2"/>
  <c r="AV44" i="2"/>
  <c r="CG44" i="2"/>
  <c r="CH44" i="2"/>
  <c r="CU44" i="2"/>
  <c r="CV44" i="2"/>
  <c r="CW44" i="2"/>
  <c r="DB44" i="2"/>
  <c r="DC44" i="2"/>
  <c r="DG44" i="2"/>
  <c r="DT44" i="2"/>
  <c r="DU44" i="2"/>
  <c r="DW44" i="2"/>
  <c r="DX44" i="2"/>
  <c r="DY44" i="2"/>
  <c r="EB44" i="2"/>
  <c r="EE44" i="2"/>
  <c r="EF44" i="2"/>
  <c r="EG44" i="2"/>
  <c r="EH44" i="2"/>
  <c r="EI44" i="2"/>
  <c r="EJ44" i="2"/>
  <c r="EK44" i="2"/>
  <c r="DZ44" i="2" s="1"/>
  <c r="EL44" i="2"/>
  <c r="EM44" i="2"/>
  <c r="EN44" i="2"/>
  <c r="S45" i="2"/>
  <c r="AF45" i="2"/>
  <c r="AG45" i="2"/>
  <c r="CX45" i="2" s="1"/>
  <c r="AH45" i="2"/>
  <c r="DH45" i="2" s="1"/>
  <c r="AI45" i="2"/>
  <c r="AJ45" i="2"/>
  <c r="AK45" i="2"/>
  <c r="AL45" i="2"/>
  <c r="AN45" i="2"/>
  <c r="AU45" i="2"/>
  <c r="AV45" i="2"/>
  <c r="CG45" i="2"/>
  <c r="CH45" i="2"/>
  <c r="CU45" i="2"/>
  <c r="CV45" i="2"/>
  <c r="CW45" i="2"/>
  <c r="DB45" i="2"/>
  <c r="DC45" i="2"/>
  <c r="DG45" i="2"/>
  <c r="DT45" i="2"/>
  <c r="DU45" i="2"/>
  <c r="DW45" i="2"/>
  <c r="DX45" i="2"/>
  <c r="DY45" i="2"/>
  <c r="EB45" i="2"/>
  <c r="EE45" i="2"/>
  <c r="EF45" i="2"/>
  <c r="EG45" i="2"/>
  <c r="EH45" i="2"/>
  <c r="EI45" i="2"/>
  <c r="EJ45" i="2"/>
  <c r="EK45" i="2"/>
  <c r="EL45" i="2"/>
  <c r="EM45" i="2"/>
  <c r="EN45" i="2"/>
  <c r="S47" i="2"/>
  <c r="AF47" i="2"/>
  <c r="AG47" i="2"/>
  <c r="CX47" i="2" s="1"/>
  <c r="AH47" i="2"/>
  <c r="DH47" i="2" s="1"/>
  <c r="AI47" i="2"/>
  <c r="AJ47" i="2"/>
  <c r="AK47" i="2"/>
  <c r="AL47" i="2"/>
  <c r="AN47" i="2"/>
  <c r="AU47" i="2"/>
  <c r="AV47" i="2"/>
  <c r="CG47" i="2"/>
  <c r="CH47" i="2"/>
  <c r="CI47" i="2"/>
  <c r="CJ47" i="2"/>
  <c r="CK47" i="2"/>
  <c r="CL47" i="2"/>
  <c r="CM47" i="2"/>
  <c r="CN47" i="2"/>
  <c r="CO47" i="2"/>
  <c r="CP47" i="2"/>
  <c r="CQ47" i="2"/>
  <c r="CR47" i="2"/>
  <c r="CS47" i="2"/>
  <c r="CT47" i="2"/>
  <c r="CU47" i="2"/>
  <c r="CV47" i="2"/>
  <c r="CW47" i="2"/>
  <c r="CZ47" i="2"/>
  <c r="DA47" i="2"/>
  <c r="DB47" i="2"/>
  <c r="DC47" i="2"/>
  <c r="DF47" i="2"/>
  <c r="DG47" i="2"/>
  <c r="DI47" i="2"/>
  <c r="DJ47" i="2"/>
  <c r="DM47" i="2"/>
  <c r="DO47" i="2"/>
  <c r="DP47" i="2"/>
  <c r="DQ47" i="2"/>
  <c r="DR47" i="2"/>
  <c r="DS47" i="2"/>
  <c r="DT47" i="2"/>
  <c r="DU47" i="2"/>
  <c r="DW47" i="2"/>
  <c r="DX47" i="2"/>
  <c r="DY47" i="2"/>
  <c r="EB47" i="2"/>
  <c r="EE47" i="2"/>
  <c r="EF47" i="2"/>
  <c r="EG47" i="2"/>
  <c r="EH47" i="2"/>
  <c r="EI47" i="2"/>
  <c r="EJ47" i="2"/>
  <c r="EK47" i="2"/>
  <c r="EL47" i="2"/>
  <c r="EM47" i="2"/>
  <c r="EN47" i="2"/>
  <c r="S49" i="2"/>
  <c r="AF49" i="2"/>
  <c r="AG49" i="2"/>
  <c r="CX49" i="2" s="1"/>
  <c r="AH49" i="2"/>
  <c r="AI49" i="2"/>
  <c r="AJ49" i="2"/>
  <c r="AK49" i="2"/>
  <c r="AL49" i="2"/>
  <c r="AN49" i="2"/>
  <c r="AU49" i="2"/>
  <c r="AV49" i="2"/>
  <c r="CH49" i="2"/>
  <c r="CU49" i="2"/>
  <c r="DB49" i="2"/>
  <c r="DC49" i="2"/>
  <c r="DG49" i="2"/>
  <c r="DT49" i="2"/>
  <c r="DU49" i="2"/>
  <c r="DW49" i="2"/>
  <c r="DX49" i="2"/>
  <c r="DY49" i="2"/>
  <c r="EB49" i="2"/>
  <c r="EE49" i="2"/>
  <c r="EF49" i="2"/>
  <c r="EG49" i="2"/>
  <c r="EH49" i="2"/>
  <c r="EI49" i="2"/>
  <c r="EJ49" i="2"/>
  <c r="EK49" i="2"/>
  <c r="DZ49" i="2" s="1"/>
  <c r="EL49" i="2"/>
  <c r="EM49" i="2"/>
  <c r="EN49" i="2"/>
  <c r="S50" i="2"/>
  <c r="AF50" i="2"/>
  <c r="AG50" i="2"/>
  <c r="AH50" i="2"/>
  <c r="AI50" i="2"/>
  <c r="AJ50" i="2"/>
  <c r="AK50" i="2"/>
  <c r="AL50" i="2"/>
  <c r="AN50" i="2"/>
  <c r="AU50" i="2"/>
  <c r="AV50" i="2"/>
  <c r="EE50" i="2"/>
  <c r="EF50" i="2"/>
  <c r="EG50" i="2"/>
  <c r="EH50" i="2"/>
  <c r="EI50" i="2"/>
  <c r="EJ50" i="2"/>
  <c r="EK50" i="2"/>
  <c r="EL50" i="2"/>
  <c r="EM50" i="2"/>
  <c r="EN50" i="2"/>
  <c r="S52" i="2"/>
  <c r="AJ52" i="2"/>
  <c r="AK52" i="2"/>
  <c r="AL52" i="2"/>
  <c r="AN52" i="2"/>
  <c r="AV52" i="2"/>
  <c r="S53" i="2"/>
  <c r="AF53" i="2"/>
  <c r="AG53" i="2"/>
  <c r="AH53" i="2"/>
  <c r="AJ53" i="2"/>
  <c r="AK53" i="2"/>
  <c r="AL53" i="2"/>
  <c r="AN53" i="2"/>
  <c r="AU53" i="2"/>
  <c r="AV53" i="2"/>
  <c r="EE53" i="2"/>
  <c r="AR53" i="2" s="1"/>
  <c r="EF53" i="2"/>
  <c r="EG53" i="2"/>
  <c r="EH53" i="2"/>
  <c r="EJ53" i="2"/>
  <c r="EK53" i="2"/>
  <c r="EL53" i="2"/>
  <c r="EM53" i="2"/>
  <c r="EN53" i="2"/>
  <c r="S54" i="2"/>
  <c r="AF54" i="2"/>
  <c r="AG54" i="2"/>
  <c r="AH54" i="2"/>
  <c r="AI54" i="2"/>
  <c r="AJ54" i="2"/>
  <c r="AK54" i="2"/>
  <c r="AL54" i="2"/>
  <c r="AN54" i="2"/>
  <c r="AU54" i="2"/>
  <c r="AV54" i="2"/>
  <c r="EE54" i="2"/>
  <c r="EF54" i="2"/>
  <c r="EG54" i="2"/>
  <c r="EH54" i="2"/>
  <c r="EJ54" i="2"/>
  <c r="EK54" i="2"/>
  <c r="EL54" i="2"/>
  <c r="EM54" i="2"/>
  <c r="EN54" i="2"/>
  <c r="S55" i="2"/>
  <c r="AF55" i="2"/>
  <c r="AG55" i="2"/>
  <c r="AH55" i="2"/>
  <c r="AI55" i="2"/>
  <c r="AJ55" i="2"/>
  <c r="AK55" i="2"/>
  <c r="AL55" i="2"/>
  <c r="AN55" i="2"/>
  <c r="AU55" i="2"/>
  <c r="AV55" i="2"/>
  <c r="EE55" i="2"/>
  <c r="EF55" i="2"/>
  <c r="EG55" i="2"/>
  <c r="EH55" i="2"/>
  <c r="EJ55" i="2"/>
  <c r="EK55" i="2"/>
  <c r="EL55" i="2"/>
  <c r="EM55" i="2"/>
  <c r="EN55" i="2"/>
  <c r="S56" i="2"/>
  <c r="AF56" i="2"/>
  <c r="AG56" i="2"/>
  <c r="CX56" i="2" s="1"/>
  <c r="AH56" i="2"/>
  <c r="DH56" i="2" s="1"/>
  <c r="AI56" i="2"/>
  <c r="AJ56" i="2"/>
  <c r="AK56" i="2"/>
  <c r="AL56" i="2"/>
  <c r="AN56" i="2"/>
  <c r="AU56" i="2"/>
  <c r="AV56" i="2"/>
  <c r="CG56" i="2"/>
  <c r="CH56" i="2"/>
  <c r="CJ56" i="2"/>
  <c r="CK56" i="2"/>
  <c r="CL56" i="2"/>
  <c r="CN56" i="2"/>
  <c r="CS56" i="2"/>
  <c r="CT56" i="2"/>
  <c r="CU56" i="2"/>
  <c r="CV56" i="2"/>
  <c r="CW56" i="2"/>
  <c r="CZ56" i="2"/>
  <c r="DA56" i="2"/>
  <c r="DB56" i="2"/>
  <c r="DC56" i="2"/>
  <c r="DD56" i="2"/>
  <c r="DE56" i="2"/>
  <c r="DF56" i="2"/>
  <c r="DG56" i="2"/>
  <c r="DI56" i="2"/>
  <c r="DJ56" i="2"/>
  <c r="DM56" i="2"/>
  <c r="DN56" i="2"/>
  <c r="DO56" i="2"/>
  <c r="DP56" i="2"/>
  <c r="DQ56" i="2"/>
  <c r="DT56" i="2"/>
  <c r="DU56" i="2"/>
  <c r="DV56" i="2"/>
  <c r="DW56" i="2"/>
  <c r="DX56" i="2"/>
  <c r="DY56" i="2"/>
  <c r="EB56" i="2"/>
  <c r="EE56" i="2"/>
  <c r="EF56" i="2"/>
  <c r="EG56" i="2"/>
  <c r="EH56" i="2"/>
  <c r="EI56" i="2"/>
  <c r="EJ56" i="2"/>
  <c r="EK56" i="2"/>
  <c r="DZ56" i="2" s="1"/>
  <c r="EL56" i="2"/>
  <c r="EM56" i="2"/>
  <c r="EN56" i="2"/>
  <c r="S57" i="2"/>
  <c r="AF57" i="2"/>
  <c r="AG57" i="2"/>
  <c r="CX57" i="2" s="1"/>
  <c r="AH57" i="2"/>
  <c r="DH57" i="2" s="1"/>
  <c r="AI57" i="2"/>
  <c r="AJ57" i="2"/>
  <c r="AK57" i="2"/>
  <c r="AL57" i="2"/>
  <c r="AN57" i="2"/>
  <c r="AU57" i="2"/>
  <c r="AV57" i="2"/>
  <c r="CG57" i="2"/>
  <c r="CH57" i="2"/>
  <c r="CJ57" i="2"/>
  <c r="CK57" i="2"/>
  <c r="CL57" i="2"/>
  <c r="CN57" i="2"/>
  <c r="CS57" i="2"/>
  <c r="CT57" i="2"/>
  <c r="CU57" i="2"/>
  <c r="CV57" i="2"/>
  <c r="CW57" i="2"/>
  <c r="DA57" i="2"/>
  <c r="DB57" i="2"/>
  <c r="DC57" i="2"/>
  <c r="DD57" i="2"/>
  <c r="DE57" i="2"/>
  <c r="DF57" i="2"/>
  <c r="DG57" i="2"/>
  <c r="DJ57" i="2"/>
  <c r="DM57" i="2"/>
  <c r="DN57" i="2"/>
  <c r="DO57" i="2"/>
  <c r="DP57" i="2"/>
  <c r="DQ57" i="2"/>
  <c r="DT57" i="2"/>
  <c r="DU57" i="2"/>
  <c r="DV57" i="2"/>
  <c r="DW57" i="2"/>
  <c r="DX57" i="2"/>
  <c r="DY57" i="2"/>
  <c r="EB57" i="2"/>
  <c r="EE57" i="2"/>
  <c r="EF57" i="2"/>
  <c r="EG57" i="2"/>
  <c r="EH57" i="2"/>
  <c r="EI57" i="2"/>
  <c r="EJ57" i="2"/>
  <c r="EK57" i="2"/>
  <c r="DZ57" i="2" s="1"/>
  <c r="EL57" i="2"/>
  <c r="EM57" i="2"/>
  <c r="EN57" i="2"/>
  <c r="S58" i="2"/>
  <c r="Z58" i="2"/>
  <c r="AA58" i="2"/>
  <c r="AB58" i="2"/>
  <c r="AC58" i="2"/>
  <c r="AF58" i="2"/>
  <c r="AG58" i="2"/>
  <c r="CX58" i="2" s="1"/>
  <c r="AH58" i="2"/>
  <c r="DH58" i="2" s="1"/>
  <c r="AI58" i="2"/>
  <c r="AJ58" i="2"/>
  <c r="AK58" i="2"/>
  <c r="AL58" i="2"/>
  <c r="AN58" i="2"/>
  <c r="AU58" i="2"/>
  <c r="AV58" i="2"/>
  <c r="CG58" i="2"/>
  <c r="CH58" i="2"/>
  <c r="CJ58" i="2"/>
  <c r="CK58" i="2"/>
  <c r="CL58" i="2"/>
  <c r="CN58" i="2"/>
  <c r="CS58" i="2"/>
  <c r="CT58" i="2"/>
  <c r="CU58" i="2"/>
  <c r="CV58" i="2"/>
  <c r="CW58" i="2"/>
  <c r="CY58" i="2"/>
  <c r="CZ58" i="2"/>
  <c r="DA58" i="2"/>
  <c r="DB58" i="2"/>
  <c r="DC58" i="2"/>
  <c r="DD58" i="2"/>
  <c r="DE58" i="2"/>
  <c r="DF58" i="2"/>
  <c r="DG58" i="2"/>
  <c r="DI58" i="2"/>
  <c r="DJ58" i="2"/>
  <c r="DM58" i="2"/>
  <c r="DN58" i="2"/>
  <c r="DO58" i="2"/>
  <c r="DP58" i="2"/>
  <c r="DQ58" i="2"/>
  <c r="DT58" i="2"/>
  <c r="DU58" i="2"/>
  <c r="DV58" i="2"/>
  <c r="DW58" i="2"/>
  <c r="DX58" i="2"/>
  <c r="DY58" i="2"/>
  <c r="EB58" i="2"/>
  <c r="EE58" i="2"/>
  <c r="EF58" i="2"/>
  <c r="EG58" i="2"/>
  <c r="EH58" i="2"/>
  <c r="EI58" i="2"/>
  <c r="EJ58" i="2"/>
  <c r="EK58" i="2"/>
  <c r="DZ58" i="2" s="1"/>
  <c r="EL58" i="2"/>
  <c r="EM58" i="2"/>
  <c r="EN58" i="2"/>
  <c r="Z59" i="2"/>
  <c r="AA59" i="2"/>
  <c r="AB59" i="2"/>
  <c r="AC59" i="2"/>
  <c r="S60" i="2"/>
  <c r="AF60" i="2"/>
  <c r="AG60" i="2"/>
  <c r="CX60" i="2" s="1"/>
  <c r="AH60" i="2"/>
  <c r="DH60" i="2" s="1"/>
  <c r="AI60" i="2"/>
  <c r="AJ60" i="2"/>
  <c r="AK60" i="2"/>
  <c r="AL60" i="2"/>
  <c r="AN60" i="2"/>
  <c r="AU60" i="2"/>
  <c r="AV60" i="2"/>
  <c r="CG60" i="2"/>
  <c r="CH60" i="2"/>
  <c r="CI60" i="2"/>
  <c r="CJ60" i="2"/>
  <c r="CK60" i="2"/>
  <c r="CL60" i="2"/>
  <c r="CM60" i="2"/>
  <c r="CN60" i="2"/>
  <c r="CO60" i="2"/>
  <c r="CP60" i="2"/>
  <c r="CQ60" i="2"/>
  <c r="CR60" i="2"/>
  <c r="CS60" i="2"/>
  <c r="CT60" i="2"/>
  <c r="CU60" i="2"/>
  <c r="CV60" i="2"/>
  <c r="CW60" i="2"/>
  <c r="CY60" i="2"/>
  <c r="CZ60" i="2"/>
  <c r="DA60" i="2"/>
  <c r="DB60" i="2"/>
  <c r="DC60" i="2"/>
  <c r="DD60" i="2"/>
  <c r="DE60" i="2"/>
  <c r="DF60" i="2"/>
  <c r="DG60" i="2"/>
  <c r="DI60" i="2"/>
  <c r="DJ60" i="2"/>
  <c r="DM60" i="2"/>
  <c r="DN60" i="2"/>
  <c r="DO60" i="2"/>
  <c r="DP60" i="2"/>
  <c r="DQ60" i="2"/>
  <c r="DR60" i="2"/>
  <c r="DS60" i="2"/>
  <c r="DT60" i="2"/>
  <c r="DU60" i="2"/>
  <c r="DV60" i="2"/>
  <c r="DW60" i="2"/>
  <c r="DX60" i="2"/>
  <c r="DY60" i="2"/>
  <c r="EB60" i="2"/>
  <c r="EE60" i="2"/>
  <c r="EF60" i="2"/>
  <c r="EG60" i="2"/>
  <c r="EH60" i="2"/>
  <c r="EI60" i="2"/>
  <c r="EJ60" i="2"/>
  <c r="EK60" i="2"/>
  <c r="EL60" i="2"/>
  <c r="EM60" i="2"/>
  <c r="EN60" i="2"/>
  <c r="S61" i="2"/>
  <c r="AF61" i="2"/>
  <c r="AG61" i="2"/>
  <c r="CX61" i="2" s="1"/>
  <c r="AH61" i="2"/>
  <c r="DH61" i="2" s="1"/>
  <c r="AI61" i="2"/>
  <c r="AJ61" i="2"/>
  <c r="AK61" i="2"/>
  <c r="AL61" i="2"/>
  <c r="AN61" i="2"/>
  <c r="AU61" i="2"/>
  <c r="AV61" i="2"/>
  <c r="CG61" i="2"/>
  <c r="CH61" i="2"/>
  <c r="CU61" i="2"/>
  <c r="CV61" i="2"/>
  <c r="CW61" i="2"/>
  <c r="DB61" i="2"/>
  <c r="DC61" i="2"/>
  <c r="DG61" i="2"/>
  <c r="DT61" i="2"/>
  <c r="DU61" i="2"/>
  <c r="DW61" i="2"/>
  <c r="DX61" i="2"/>
  <c r="DY61" i="2"/>
  <c r="EB61" i="2"/>
  <c r="EE61" i="2"/>
  <c r="EF61" i="2"/>
  <c r="EG61" i="2"/>
  <c r="EH61" i="2"/>
  <c r="EI61" i="2"/>
  <c r="EJ61" i="2"/>
  <c r="EK61" i="2"/>
  <c r="EL61" i="2"/>
  <c r="EM61" i="2"/>
  <c r="EN61" i="2"/>
  <c r="S62" i="2"/>
  <c r="AF62" i="2"/>
  <c r="AG62" i="2"/>
  <c r="CX62" i="2" s="1"/>
  <c r="AH62" i="2"/>
  <c r="DH62" i="2" s="1"/>
  <c r="AI62" i="2"/>
  <c r="AJ62" i="2"/>
  <c r="AK62" i="2"/>
  <c r="AL62" i="2"/>
  <c r="AN62" i="2"/>
  <c r="AU62" i="2"/>
  <c r="AV62" i="2"/>
  <c r="CG62" i="2"/>
  <c r="CH62" i="2"/>
  <c r="CU62" i="2"/>
  <c r="CV62" i="2"/>
  <c r="CW62" i="2"/>
  <c r="DB62" i="2"/>
  <c r="DC62" i="2"/>
  <c r="DG62" i="2"/>
  <c r="DT62" i="2"/>
  <c r="DU62" i="2"/>
  <c r="DW62" i="2"/>
  <c r="DX62" i="2"/>
  <c r="DY62" i="2"/>
  <c r="EB62" i="2"/>
  <c r="EE62" i="2"/>
  <c r="EF62" i="2"/>
  <c r="EG62" i="2"/>
  <c r="EH62" i="2"/>
  <c r="EI62" i="2"/>
  <c r="EJ62" i="2"/>
  <c r="EK62" i="2"/>
  <c r="DZ62" i="2" s="1"/>
  <c r="EL62" i="2"/>
  <c r="EM62" i="2"/>
  <c r="EN62" i="2"/>
  <c r="S63" i="2"/>
  <c r="AF63" i="2"/>
  <c r="AG63" i="2"/>
  <c r="CX63" i="2" s="1"/>
  <c r="AH63" i="2"/>
  <c r="AI63" i="2"/>
  <c r="AJ63" i="2"/>
  <c r="AK63" i="2"/>
  <c r="AL63" i="2"/>
  <c r="AN63" i="2"/>
  <c r="AU63" i="2"/>
  <c r="AV63" i="2"/>
  <c r="CG63" i="2"/>
  <c r="CH63" i="2"/>
  <c r="CU63" i="2"/>
  <c r="CV63" i="2"/>
  <c r="CW63" i="2"/>
  <c r="DB63" i="2"/>
  <c r="DC63" i="2"/>
  <c r="DG63" i="2"/>
  <c r="DH63" i="2"/>
  <c r="DT63" i="2"/>
  <c r="DU63" i="2"/>
  <c r="DW63" i="2"/>
  <c r="DX63" i="2"/>
  <c r="DY63" i="2"/>
  <c r="EB63" i="2"/>
  <c r="EE63" i="2"/>
  <c r="EF63" i="2"/>
  <c r="EG63" i="2"/>
  <c r="EH63" i="2"/>
  <c r="EI63" i="2"/>
  <c r="EJ63" i="2"/>
  <c r="EK63" i="2"/>
  <c r="DZ63" i="2" s="1"/>
  <c r="EL63" i="2"/>
  <c r="EM63" i="2"/>
  <c r="EN63" i="2"/>
  <c r="S64" i="2"/>
  <c r="AF64" i="2"/>
  <c r="AG64" i="2"/>
  <c r="CX64" i="2" s="1"/>
  <c r="AH64" i="2"/>
  <c r="DH64" i="2" s="1"/>
  <c r="AI64" i="2"/>
  <c r="AJ64" i="2"/>
  <c r="AK64" i="2"/>
  <c r="AL64" i="2"/>
  <c r="AN64" i="2"/>
  <c r="AU64" i="2"/>
  <c r="AV64" i="2"/>
  <c r="CG64" i="2"/>
  <c r="CH64" i="2"/>
  <c r="CU64" i="2"/>
  <c r="CV64" i="2"/>
  <c r="CW64" i="2"/>
  <c r="DB64" i="2"/>
  <c r="DC64" i="2"/>
  <c r="DG64" i="2"/>
  <c r="DT64" i="2"/>
  <c r="DU64" i="2"/>
  <c r="DW64" i="2"/>
  <c r="DX64" i="2"/>
  <c r="DY64" i="2"/>
  <c r="EB64" i="2"/>
  <c r="EE64" i="2"/>
  <c r="EF64" i="2"/>
  <c r="EG64" i="2"/>
  <c r="EH64" i="2"/>
  <c r="EI64" i="2"/>
  <c r="EJ64" i="2"/>
  <c r="EK64" i="2"/>
  <c r="DZ64" i="2" s="1"/>
  <c r="EL64" i="2"/>
  <c r="EM64" i="2"/>
  <c r="EN64" i="2"/>
  <c r="S65" i="2"/>
  <c r="AF65" i="2"/>
  <c r="AG65" i="2"/>
  <c r="CX65" i="2" s="1"/>
  <c r="AH65" i="2"/>
  <c r="DH65" i="2" s="1"/>
  <c r="AI65" i="2"/>
  <c r="AJ65" i="2"/>
  <c r="AK65" i="2"/>
  <c r="AL65" i="2"/>
  <c r="AN65" i="2"/>
  <c r="AU65" i="2"/>
  <c r="AV65" i="2"/>
  <c r="CG65" i="2"/>
  <c r="CH65" i="2"/>
  <c r="CU65" i="2"/>
  <c r="CV65" i="2"/>
  <c r="CW65" i="2"/>
  <c r="CY65" i="2"/>
  <c r="DB65" i="2"/>
  <c r="DC65" i="2"/>
  <c r="DG65" i="2"/>
  <c r="DT65" i="2"/>
  <c r="DU65" i="2"/>
  <c r="DW65" i="2"/>
  <c r="DX65" i="2"/>
  <c r="DY65" i="2"/>
  <c r="EB65" i="2"/>
  <c r="EE65" i="2"/>
  <c r="EF65" i="2"/>
  <c r="EG65" i="2"/>
  <c r="EH65" i="2"/>
  <c r="EI65" i="2"/>
  <c r="EJ65" i="2"/>
  <c r="EK65" i="2"/>
  <c r="DZ65" i="2" s="1"/>
  <c r="EL65" i="2"/>
  <c r="EM65" i="2"/>
  <c r="EN65" i="2"/>
  <c r="S66" i="2"/>
  <c r="AF66" i="2"/>
  <c r="AG66" i="2"/>
  <c r="CX66" i="2" s="1"/>
  <c r="AH66" i="2"/>
  <c r="DH66" i="2" s="1"/>
  <c r="AI66" i="2"/>
  <c r="AJ66" i="2"/>
  <c r="AK66" i="2"/>
  <c r="AL66" i="2"/>
  <c r="AN66" i="2"/>
  <c r="AU66" i="2"/>
  <c r="AV66" i="2"/>
  <c r="CG66" i="2"/>
  <c r="CH66" i="2"/>
  <c r="CU66" i="2"/>
  <c r="CV66" i="2"/>
  <c r="CW66" i="2"/>
  <c r="CY66" i="2"/>
  <c r="DB66" i="2"/>
  <c r="DC66" i="2"/>
  <c r="DG66" i="2"/>
  <c r="DT66" i="2"/>
  <c r="DU66" i="2"/>
  <c r="DW66" i="2"/>
  <c r="DX66" i="2"/>
  <c r="DY66" i="2"/>
  <c r="EB66" i="2"/>
  <c r="EE66" i="2"/>
  <c r="EF66" i="2"/>
  <c r="EG66" i="2"/>
  <c r="EH66" i="2"/>
  <c r="EI66" i="2"/>
  <c r="EJ66" i="2"/>
  <c r="EK66" i="2"/>
  <c r="DZ66" i="2" s="1"/>
  <c r="EL66" i="2"/>
  <c r="EM66" i="2"/>
  <c r="EN66" i="2"/>
  <c r="S67" i="2"/>
  <c r="AF67" i="2"/>
  <c r="AG67" i="2"/>
  <c r="CX67" i="2" s="1"/>
  <c r="AH67" i="2"/>
  <c r="DH67" i="2" s="1"/>
  <c r="AI67" i="2"/>
  <c r="AJ67" i="2"/>
  <c r="AK67" i="2"/>
  <c r="AL67" i="2"/>
  <c r="AN67" i="2"/>
  <c r="AU67" i="2"/>
  <c r="AV67" i="2"/>
  <c r="CG67" i="2"/>
  <c r="CH67" i="2"/>
  <c r="CU67" i="2"/>
  <c r="CV67" i="2"/>
  <c r="CW67" i="2"/>
  <c r="CY67" i="2"/>
  <c r="DB67" i="2"/>
  <c r="DC67" i="2"/>
  <c r="DG67" i="2"/>
  <c r="DT67" i="2"/>
  <c r="DU67" i="2"/>
  <c r="DW67" i="2"/>
  <c r="DX67" i="2"/>
  <c r="DY67" i="2"/>
  <c r="EB67" i="2"/>
  <c r="EE67" i="2"/>
  <c r="EF67" i="2"/>
  <c r="EG67" i="2"/>
  <c r="EH67" i="2"/>
  <c r="EI67" i="2"/>
  <c r="EJ67" i="2"/>
  <c r="EK67" i="2"/>
  <c r="DZ67" i="2" s="1"/>
  <c r="EL67" i="2"/>
  <c r="EM67" i="2"/>
  <c r="EN67" i="2"/>
  <c r="S68" i="2"/>
  <c r="AF68" i="2"/>
  <c r="AG68" i="2"/>
  <c r="CX68" i="2" s="1"/>
  <c r="AH68" i="2"/>
  <c r="DH68" i="2" s="1"/>
  <c r="AI68" i="2"/>
  <c r="AJ68" i="2"/>
  <c r="AK68" i="2"/>
  <c r="AL68" i="2"/>
  <c r="AN68" i="2"/>
  <c r="AU68" i="2"/>
  <c r="AV68" i="2"/>
  <c r="CG68" i="2"/>
  <c r="CH68" i="2"/>
  <c r="CU68" i="2"/>
  <c r="CV68" i="2"/>
  <c r="CW68" i="2"/>
  <c r="CY68" i="2"/>
  <c r="DB68" i="2"/>
  <c r="DC68" i="2"/>
  <c r="DG68" i="2"/>
  <c r="DT68" i="2"/>
  <c r="DU68" i="2"/>
  <c r="DW68" i="2"/>
  <c r="DX68" i="2"/>
  <c r="DY68" i="2"/>
  <c r="EB68" i="2"/>
  <c r="EE68" i="2"/>
  <c r="EF68" i="2"/>
  <c r="EG68" i="2"/>
  <c r="EH68" i="2"/>
  <c r="EI68" i="2"/>
  <c r="EJ68" i="2"/>
  <c r="EK68" i="2"/>
  <c r="DZ68" i="2" s="1"/>
  <c r="EL68" i="2"/>
  <c r="EM68" i="2"/>
  <c r="EN68" i="2"/>
  <c r="S69" i="2"/>
  <c r="AF69" i="2"/>
  <c r="AG69" i="2"/>
  <c r="CX69" i="2" s="1"/>
  <c r="AH69" i="2"/>
  <c r="DH69" i="2" s="1"/>
  <c r="AI69" i="2"/>
  <c r="AJ69" i="2"/>
  <c r="AK69" i="2"/>
  <c r="AL69" i="2"/>
  <c r="AN69" i="2"/>
  <c r="AU69" i="2"/>
  <c r="AV69" i="2"/>
  <c r="CG69" i="2"/>
  <c r="CH69" i="2"/>
  <c r="CI69" i="2"/>
  <c r="CJ69" i="2"/>
  <c r="CK69" i="2"/>
  <c r="CL69" i="2"/>
  <c r="CM69" i="2"/>
  <c r="CN69" i="2"/>
  <c r="CO69" i="2"/>
  <c r="CP69" i="2"/>
  <c r="CQ69" i="2"/>
  <c r="CR69" i="2"/>
  <c r="CS69" i="2"/>
  <c r="CT69" i="2"/>
  <c r="CU69" i="2"/>
  <c r="CV69" i="2"/>
  <c r="CW69" i="2"/>
  <c r="CY69" i="2"/>
  <c r="DA69" i="2"/>
  <c r="DB69" i="2"/>
  <c r="DC69" i="2"/>
  <c r="DF69" i="2"/>
  <c r="DG69" i="2"/>
  <c r="DJ69" i="2"/>
  <c r="DM69" i="2"/>
  <c r="DO69" i="2"/>
  <c r="DP69" i="2"/>
  <c r="DQ69" i="2"/>
  <c r="DR69" i="2"/>
  <c r="DS69" i="2"/>
  <c r="DT69" i="2"/>
  <c r="DU69" i="2"/>
  <c r="DW69" i="2"/>
  <c r="DX69" i="2"/>
  <c r="DY69" i="2"/>
  <c r="EB69" i="2"/>
  <c r="EE69" i="2"/>
  <c r="EF69" i="2"/>
  <c r="EG69" i="2"/>
  <c r="EH69" i="2"/>
  <c r="EI69" i="2"/>
  <c r="EJ69" i="2"/>
  <c r="EK69" i="2"/>
  <c r="EL69" i="2"/>
  <c r="EM69" i="2"/>
  <c r="EN69" i="2"/>
  <c r="S70" i="2"/>
  <c r="AF70" i="2"/>
  <c r="AG70" i="2"/>
  <c r="CX70" i="2" s="1"/>
  <c r="AH70" i="2"/>
  <c r="DH70" i="2" s="1"/>
  <c r="AI70" i="2"/>
  <c r="AJ70" i="2"/>
  <c r="AK70" i="2"/>
  <c r="AL70" i="2"/>
  <c r="AN70" i="2"/>
  <c r="AU70" i="2"/>
  <c r="AV70" i="2"/>
  <c r="CG70" i="2"/>
  <c r="CH70" i="2"/>
  <c r="CU70" i="2"/>
  <c r="CV70" i="2"/>
  <c r="CW70" i="2"/>
  <c r="CY70" i="2"/>
  <c r="DB70" i="2"/>
  <c r="DC70" i="2"/>
  <c r="DG70" i="2"/>
  <c r="DT70" i="2"/>
  <c r="DU70" i="2"/>
  <c r="DW70" i="2"/>
  <c r="DX70" i="2"/>
  <c r="DY70" i="2"/>
  <c r="EB70" i="2"/>
  <c r="EE70" i="2"/>
  <c r="EF70" i="2"/>
  <c r="EG70" i="2"/>
  <c r="EH70" i="2"/>
  <c r="EI70" i="2"/>
  <c r="EJ70" i="2"/>
  <c r="EK70" i="2"/>
  <c r="EL70" i="2"/>
  <c r="EM70" i="2"/>
  <c r="EN70" i="2"/>
  <c r="S71" i="2"/>
  <c r="AF71" i="2"/>
  <c r="AG71" i="2"/>
  <c r="CX71" i="2" s="1"/>
  <c r="AH71" i="2"/>
  <c r="DH71" i="2" s="1"/>
  <c r="AI71" i="2"/>
  <c r="AJ71" i="2"/>
  <c r="AK71" i="2"/>
  <c r="AL71" i="2"/>
  <c r="AN71" i="2"/>
  <c r="AU71" i="2"/>
  <c r="AV71" i="2"/>
  <c r="CG71" i="2"/>
  <c r="CH71" i="2"/>
  <c r="CU71" i="2"/>
  <c r="CV71" i="2"/>
  <c r="CW71" i="2"/>
  <c r="DB71" i="2"/>
  <c r="DC71" i="2"/>
  <c r="DG71" i="2"/>
  <c r="DT71" i="2"/>
  <c r="DU71" i="2"/>
  <c r="DW71" i="2"/>
  <c r="DX71" i="2"/>
  <c r="DY71" i="2"/>
  <c r="EB71" i="2"/>
  <c r="EE71" i="2"/>
  <c r="EF71" i="2"/>
  <c r="EG71" i="2"/>
  <c r="EH71" i="2"/>
  <c r="EI71" i="2"/>
  <c r="EJ71" i="2"/>
  <c r="EK71" i="2"/>
  <c r="AM71" i="2" s="1"/>
  <c r="EL71" i="2"/>
  <c r="EM71" i="2"/>
  <c r="EN71" i="2"/>
  <c r="S72" i="2"/>
  <c r="AF72" i="2"/>
  <c r="AG72" i="2"/>
  <c r="CX72" i="2" s="1"/>
  <c r="AH72" i="2"/>
  <c r="DH72" i="2" s="1"/>
  <c r="AI72" i="2"/>
  <c r="AJ72" i="2"/>
  <c r="AK72" i="2"/>
  <c r="AL72" i="2"/>
  <c r="AN72" i="2"/>
  <c r="AU72" i="2"/>
  <c r="AV72" i="2"/>
  <c r="CG72" i="2"/>
  <c r="CH72" i="2"/>
  <c r="CU72" i="2"/>
  <c r="CV72" i="2"/>
  <c r="CW72" i="2"/>
  <c r="DB72" i="2"/>
  <c r="DC72" i="2"/>
  <c r="DG72" i="2"/>
  <c r="DI72" i="2"/>
  <c r="DT72" i="2"/>
  <c r="DU72" i="2"/>
  <c r="DW72" i="2"/>
  <c r="DX72" i="2"/>
  <c r="DY72" i="2"/>
  <c r="EB72" i="2"/>
  <c r="EE72" i="2"/>
  <c r="EF72" i="2"/>
  <c r="EG72" i="2"/>
  <c r="EH72" i="2"/>
  <c r="EI72" i="2"/>
  <c r="EJ72" i="2"/>
  <c r="EK72" i="2"/>
  <c r="DZ72" i="2" s="1"/>
  <c r="EL72" i="2"/>
  <c r="EM72" i="2"/>
  <c r="EN72" i="2"/>
  <c r="S73" i="2"/>
  <c r="AF73" i="2"/>
  <c r="AG73" i="2"/>
  <c r="CX73" i="2" s="1"/>
  <c r="AH73" i="2"/>
  <c r="AI73" i="2"/>
  <c r="AJ73" i="2"/>
  <c r="AK73" i="2"/>
  <c r="AL73" i="2"/>
  <c r="AN73" i="2"/>
  <c r="AU73" i="2"/>
  <c r="AV73" i="2"/>
  <c r="CG73" i="2"/>
  <c r="CH73" i="2"/>
  <c r="CU73" i="2"/>
  <c r="CV73" i="2"/>
  <c r="CW73" i="2"/>
  <c r="DB73" i="2"/>
  <c r="DC73" i="2"/>
  <c r="DG73" i="2"/>
  <c r="DH73" i="2"/>
  <c r="DT73" i="2"/>
  <c r="DU73" i="2"/>
  <c r="DW73" i="2"/>
  <c r="DX73" i="2"/>
  <c r="DY73" i="2"/>
  <c r="EB73" i="2"/>
  <c r="EE73" i="2"/>
  <c r="EF73" i="2"/>
  <c r="EG73" i="2"/>
  <c r="EH73" i="2"/>
  <c r="EI73" i="2"/>
  <c r="EJ73" i="2"/>
  <c r="EK73" i="2"/>
  <c r="DZ73" i="2" s="1"/>
  <c r="EL73" i="2"/>
  <c r="EM73" i="2"/>
  <c r="EN73" i="2"/>
  <c r="S74" i="2"/>
  <c r="AF74" i="2"/>
  <c r="AG74" i="2"/>
  <c r="CX74" i="2" s="1"/>
  <c r="AH74" i="2"/>
  <c r="DH74" i="2" s="1"/>
  <c r="AI74" i="2"/>
  <c r="AJ74" i="2"/>
  <c r="AK74" i="2"/>
  <c r="AL74" i="2"/>
  <c r="AN74" i="2"/>
  <c r="AU74" i="2"/>
  <c r="AV74" i="2"/>
  <c r="CG74" i="2"/>
  <c r="CH74" i="2"/>
  <c r="CU74" i="2"/>
  <c r="CV74" i="2"/>
  <c r="CW74" i="2"/>
  <c r="DB74" i="2"/>
  <c r="DC74" i="2"/>
  <c r="DG74" i="2"/>
  <c r="DT74" i="2"/>
  <c r="DU74" i="2"/>
  <c r="DW74" i="2"/>
  <c r="DX74" i="2"/>
  <c r="DY74" i="2"/>
  <c r="EB74" i="2"/>
  <c r="EE74" i="2"/>
  <c r="EF74" i="2"/>
  <c r="EG74" i="2"/>
  <c r="EH74" i="2"/>
  <c r="EI74" i="2"/>
  <c r="EJ74" i="2"/>
  <c r="EK74" i="2"/>
  <c r="DZ74" i="2" s="1"/>
  <c r="EL74" i="2"/>
  <c r="EM74" i="2"/>
  <c r="EN74" i="2"/>
  <c r="S75" i="2"/>
  <c r="AF75" i="2"/>
  <c r="AG75" i="2"/>
  <c r="CX75" i="2" s="1"/>
  <c r="AH75" i="2"/>
  <c r="AI75" i="2"/>
  <c r="AJ75" i="2"/>
  <c r="AK75" i="2"/>
  <c r="AL75" i="2"/>
  <c r="AN75" i="2"/>
  <c r="AU75" i="2"/>
  <c r="AV75" i="2"/>
  <c r="CG75" i="2"/>
  <c r="CH75" i="2"/>
  <c r="CU75" i="2"/>
  <c r="DB75" i="2"/>
  <c r="DG75" i="2"/>
  <c r="DT75" i="2"/>
  <c r="DU75" i="2"/>
  <c r="DW75" i="2"/>
  <c r="DX75" i="2"/>
  <c r="EB75" i="2"/>
  <c r="EE75" i="2"/>
  <c r="EF75" i="2"/>
  <c r="EG75" i="2"/>
  <c r="EH75" i="2"/>
  <c r="EI75" i="2"/>
  <c r="EJ75" i="2"/>
  <c r="EK75" i="2"/>
  <c r="DZ75" i="2" s="1"/>
  <c r="EL75" i="2"/>
  <c r="EM75" i="2"/>
  <c r="EN75" i="2"/>
  <c r="S76" i="2"/>
  <c r="AF76" i="2"/>
  <c r="AG76" i="2"/>
  <c r="AH76" i="2"/>
  <c r="AI76" i="2"/>
  <c r="AJ76" i="2"/>
  <c r="AK76" i="2"/>
  <c r="AL76" i="2"/>
  <c r="AN76" i="2"/>
  <c r="AU76" i="2"/>
  <c r="AV76" i="2"/>
  <c r="CG76" i="2"/>
  <c r="CH76" i="2"/>
  <c r="DT76" i="2"/>
  <c r="EE76" i="2"/>
  <c r="EF76" i="2"/>
  <c r="EG76" i="2"/>
  <c r="EH76" i="2"/>
  <c r="EI76" i="2"/>
  <c r="EJ76" i="2"/>
  <c r="EK76" i="2"/>
  <c r="EL76" i="2"/>
  <c r="EM76" i="2"/>
  <c r="EN76" i="2"/>
  <c r="Z77" i="2"/>
  <c r="AA77" i="2"/>
  <c r="AB77" i="2"/>
  <c r="AC77" i="2"/>
  <c r="CG77" i="2"/>
  <c r="CH77" i="2"/>
  <c r="S78" i="2"/>
  <c r="Z78" i="2"/>
  <c r="AA78" i="2"/>
  <c r="AB78" i="2"/>
  <c r="AC78" i="2"/>
  <c r="AF78" i="2"/>
  <c r="AG78" i="2"/>
  <c r="CX78" i="2" s="1"/>
  <c r="AH78" i="2"/>
  <c r="DH78" i="2" s="1"/>
  <c r="AI78" i="2"/>
  <c r="AJ78" i="2"/>
  <c r="AK78" i="2"/>
  <c r="AL78" i="2"/>
  <c r="AN78" i="2"/>
  <c r="AU78" i="2"/>
  <c r="AV78" i="2"/>
  <c r="CG78" i="2"/>
  <c r="CH78" i="2"/>
  <c r="CI78" i="2"/>
  <c r="CJ78" i="2"/>
  <c r="CK78" i="2"/>
  <c r="CL78" i="2"/>
  <c r="CM78" i="2"/>
  <c r="CN78" i="2"/>
  <c r="CO78" i="2"/>
  <c r="CP78" i="2"/>
  <c r="CQ78" i="2"/>
  <c r="CR78" i="2"/>
  <c r="CS78" i="2"/>
  <c r="CT78" i="2"/>
  <c r="CU78" i="2"/>
  <c r="CV78" i="2"/>
  <c r="CW78" i="2"/>
  <c r="CZ78" i="2"/>
  <c r="DA78" i="2"/>
  <c r="DB78" i="2"/>
  <c r="DC78" i="2"/>
  <c r="DF78" i="2"/>
  <c r="DG78" i="2"/>
  <c r="DI78" i="2"/>
  <c r="DJ78" i="2"/>
  <c r="DM78" i="2"/>
  <c r="DO78" i="2"/>
  <c r="DP78" i="2"/>
  <c r="DQ78" i="2"/>
  <c r="DR78" i="2"/>
  <c r="DS78" i="2"/>
  <c r="DT78" i="2"/>
  <c r="DU78" i="2"/>
  <c r="DW78" i="2"/>
  <c r="DX78" i="2"/>
  <c r="DY78" i="2"/>
  <c r="EB78" i="2"/>
  <c r="EE78" i="2"/>
  <c r="EF78" i="2"/>
  <c r="EG78" i="2"/>
  <c r="EH78" i="2"/>
  <c r="EI78" i="2"/>
  <c r="EJ78" i="2"/>
  <c r="EK78" i="2"/>
  <c r="EL78" i="2"/>
  <c r="EM78" i="2"/>
  <c r="EN78" i="2"/>
  <c r="S80" i="2"/>
  <c r="AF80" i="2"/>
  <c r="AG80" i="2"/>
  <c r="CX80" i="2" s="1"/>
  <c r="AH80" i="2"/>
  <c r="AI80" i="2"/>
  <c r="AJ80" i="2"/>
  <c r="AK80" i="2"/>
  <c r="AL80" i="2"/>
  <c r="AN80" i="2"/>
  <c r="AU80" i="2"/>
  <c r="AV80" i="2"/>
  <c r="CU80" i="2"/>
  <c r="CZ80" i="2"/>
  <c r="DB80" i="2"/>
  <c r="DC80" i="2"/>
  <c r="DG80" i="2"/>
  <c r="DI80" i="2"/>
  <c r="DT80" i="2"/>
  <c r="DU80" i="2"/>
  <c r="DW80" i="2"/>
  <c r="DX80" i="2"/>
  <c r="DY80" i="2"/>
  <c r="EB80" i="2"/>
  <c r="EE80" i="2"/>
  <c r="EF80" i="2"/>
  <c r="EG80" i="2"/>
  <c r="EH80" i="2"/>
  <c r="EI80" i="2"/>
  <c r="EJ80" i="2"/>
  <c r="EK80" i="2"/>
  <c r="DZ80" i="2" s="1"/>
  <c r="EL80" i="2"/>
  <c r="EM80" i="2"/>
  <c r="EN80" i="2"/>
  <c r="S81" i="2"/>
  <c r="AF81" i="2"/>
  <c r="AG81" i="2"/>
  <c r="CX81" i="2" s="1"/>
  <c r="AH81" i="2"/>
  <c r="AI81" i="2"/>
  <c r="AJ81" i="2"/>
  <c r="AK81" i="2"/>
  <c r="AL81" i="2"/>
  <c r="AN81" i="2"/>
  <c r="AU81" i="2"/>
  <c r="AV81" i="2"/>
  <c r="CU81" i="2"/>
  <c r="DB81" i="2"/>
  <c r="DC81" i="2"/>
  <c r="DG81" i="2"/>
  <c r="DT81" i="2"/>
  <c r="DU81" i="2"/>
  <c r="DW81" i="2"/>
  <c r="DX81" i="2"/>
  <c r="DY81" i="2"/>
  <c r="EB81" i="2"/>
  <c r="EE81" i="2"/>
  <c r="EF81" i="2"/>
  <c r="EG81" i="2"/>
  <c r="EH81" i="2"/>
  <c r="EI81" i="2"/>
  <c r="EJ81" i="2"/>
  <c r="EK81" i="2"/>
  <c r="EL81" i="2"/>
  <c r="EM81" i="2"/>
  <c r="EN81" i="2"/>
  <c r="S82" i="2"/>
  <c r="AF82" i="2"/>
  <c r="AG82" i="2"/>
  <c r="CX82" i="2" s="1"/>
  <c r="AH82" i="2"/>
  <c r="AI82" i="2"/>
  <c r="AJ82" i="2"/>
  <c r="AK82" i="2"/>
  <c r="AL82" i="2"/>
  <c r="AN82" i="2"/>
  <c r="AU82" i="2"/>
  <c r="AV82" i="2"/>
  <c r="CH82" i="2"/>
  <c r="CU82" i="2"/>
  <c r="DB82" i="2"/>
  <c r="DC82" i="2"/>
  <c r="DG82" i="2"/>
  <c r="DT82" i="2"/>
  <c r="DU82" i="2"/>
  <c r="DW82" i="2"/>
  <c r="DX82" i="2"/>
  <c r="DY82" i="2"/>
  <c r="EB82" i="2"/>
  <c r="EE82" i="2"/>
  <c r="EF82" i="2"/>
  <c r="EG82" i="2"/>
  <c r="EH82" i="2"/>
  <c r="EI82" i="2"/>
  <c r="EJ82" i="2"/>
  <c r="EK82" i="2"/>
  <c r="DZ82" i="2" s="1"/>
  <c r="EL82" i="2"/>
  <c r="EM82" i="2"/>
  <c r="EN82" i="2"/>
  <c r="S83" i="2"/>
  <c r="AF83" i="2"/>
  <c r="AG83" i="2"/>
  <c r="AH83" i="2"/>
  <c r="AI83" i="2"/>
  <c r="AJ83" i="2"/>
  <c r="AK83" i="2"/>
  <c r="AL83" i="2"/>
  <c r="AN83" i="2"/>
  <c r="AU83" i="2"/>
  <c r="AV83" i="2"/>
  <c r="EE83" i="2"/>
  <c r="EF83" i="2"/>
  <c r="EG83" i="2"/>
  <c r="EH83" i="2"/>
  <c r="EI83" i="2"/>
  <c r="EJ83" i="2"/>
  <c r="EK83" i="2"/>
  <c r="EL83" i="2"/>
  <c r="EM83" i="2"/>
  <c r="EN83" i="2"/>
  <c r="S84" i="2"/>
  <c r="AF84" i="2"/>
  <c r="AG84" i="2"/>
  <c r="CX84" i="2" s="1"/>
  <c r="AH84" i="2"/>
  <c r="DH84" i="2" s="1"/>
  <c r="AI84" i="2"/>
  <c r="AJ84" i="2"/>
  <c r="AK84" i="2"/>
  <c r="AL84" i="2"/>
  <c r="AN84" i="2"/>
  <c r="AU84" i="2"/>
  <c r="AV84" i="2"/>
  <c r="CG84" i="2"/>
  <c r="CH84" i="2"/>
  <c r="CI84" i="2"/>
  <c r="CJ84" i="2"/>
  <c r="CK84" i="2"/>
  <c r="CL84" i="2"/>
  <c r="CM84" i="2"/>
  <c r="CN84" i="2"/>
  <c r="CO84" i="2"/>
  <c r="CP84" i="2"/>
  <c r="CQ84" i="2"/>
  <c r="CR84" i="2"/>
  <c r="CS84" i="2"/>
  <c r="CT84" i="2"/>
  <c r="CU84" i="2"/>
  <c r="CV84" i="2"/>
  <c r="CW84" i="2"/>
  <c r="CY84" i="2"/>
  <c r="CZ84" i="2"/>
  <c r="DA84" i="2"/>
  <c r="DB84" i="2"/>
  <c r="DC84" i="2"/>
  <c r="DD84" i="2"/>
  <c r="DE84" i="2"/>
  <c r="DF84" i="2"/>
  <c r="DG84" i="2"/>
  <c r="DI84" i="2"/>
  <c r="DJ84" i="2"/>
  <c r="DM84" i="2"/>
  <c r="DN84" i="2"/>
  <c r="DO84" i="2"/>
  <c r="DP84" i="2"/>
  <c r="DQ84" i="2"/>
  <c r="DR84" i="2"/>
  <c r="DS84" i="2"/>
  <c r="DT84" i="2"/>
  <c r="DU84" i="2"/>
  <c r="DV84" i="2"/>
  <c r="DW84" i="2"/>
  <c r="DX84" i="2"/>
  <c r="DY84" i="2"/>
  <c r="EB84" i="2"/>
  <c r="EE84" i="2"/>
  <c r="EF84" i="2"/>
  <c r="EG84" i="2"/>
  <c r="EH84" i="2"/>
  <c r="EI84" i="2"/>
  <c r="EJ84" i="2"/>
  <c r="EK84" i="2"/>
  <c r="DZ84" i="2" s="1"/>
  <c r="EL84" i="2"/>
  <c r="EM84" i="2"/>
  <c r="EN84" i="2"/>
  <c r="S85" i="2"/>
  <c r="AF85" i="2"/>
  <c r="AG85" i="2"/>
  <c r="CX85" i="2" s="1"/>
  <c r="AH85" i="2"/>
  <c r="DH85" i="2" s="1"/>
  <c r="AI85" i="2"/>
  <c r="AJ85" i="2"/>
  <c r="AK85" i="2"/>
  <c r="AL85" i="2"/>
  <c r="AN85" i="2"/>
  <c r="AU85" i="2"/>
  <c r="AV85" i="2"/>
  <c r="CG85" i="2"/>
  <c r="CH85" i="2"/>
  <c r="CI85" i="2"/>
  <c r="CJ85" i="2"/>
  <c r="CK85" i="2"/>
  <c r="CL85" i="2"/>
  <c r="CM85" i="2"/>
  <c r="CN85" i="2"/>
  <c r="CO85" i="2"/>
  <c r="CP85" i="2"/>
  <c r="CQ85" i="2"/>
  <c r="CR85" i="2"/>
  <c r="CS85" i="2"/>
  <c r="CT85" i="2"/>
  <c r="CU85" i="2"/>
  <c r="CV85" i="2"/>
  <c r="CW85" i="2"/>
  <c r="CY85" i="2"/>
  <c r="CZ85" i="2"/>
  <c r="DA85" i="2"/>
  <c r="DB85" i="2"/>
  <c r="DC85" i="2"/>
  <c r="DD85" i="2"/>
  <c r="DE85" i="2"/>
  <c r="DF85" i="2"/>
  <c r="DG85" i="2"/>
  <c r="DI85" i="2"/>
  <c r="DJ85" i="2"/>
  <c r="DM85" i="2"/>
  <c r="DN85" i="2"/>
  <c r="DO85" i="2"/>
  <c r="DP85" i="2"/>
  <c r="DQ85" i="2"/>
  <c r="DR85" i="2"/>
  <c r="DS85" i="2"/>
  <c r="DT85" i="2"/>
  <c r="DU85" i="2"/>
  <c r="DV85" i="2"/>
  <c r="DW85" i="2"/>
  <c r="DX85" i="2"/>
  <c r="DY85" i="2"/>
  <c r="EB85" i="2"/>
  <c r="EE85" i="2"/>
  <c r="EF85" i="2"/>
  <c r="EG85" i="2"/>
  <c r="EH85" i="2"/>
  <c r="EI85" i="2"/>
  <c r="EJ85" i="2"/>
  <c r="EK85" i="2"/>
  <c r="EL85" i="2"/>
  <c r="EM85" i="2"/>
  <c r="EN85" i="2"/>
  <c r="S87" i="2"/>
  <c r="AF87" i="2"/>
  <c r="AJ87" i="2"/>
  <c r="AK87" i="2"/>
  <c r="AL87" i="2"/>
  <c r="AN87" i="2"/>
  <c r="AU87" i="2"/>
  <c r="AV87" i="2"/>
  <c r="S88" i="2"/>
  <c r="AF88" i="2"/>
  <c r="AG88" i="2"/>
  <c r="AH88" i="2"/>
  <c r="AJ88" i="2"/>
  <c r="AK88" i="2"/>
  <c r="AL88" i="2"/>
  <c r="AN88" i="2"/>
  <c r="AU88" i="2"/>
  <c r="AV88" i="2"/>
  <c r="EE88" i="2"/>
  <c r="EF88" i="2"/>
  <c r="EG88" i="2"/>
  <c r="EH88" i="2"/>
  <c r="EJ88" i="2"/>
  <c r="EK88" i="2"/>
  <c r="EL88" i="2"/>
  <c r="EM88" i="2"/>
  <c r="EN88" i="2"/>
  <c r="S89" i="2"/>
  <c r="AF89" i="2"/>
  <c r="AG89" i="2"/>
  <c r="AH89" i="2"/>
  <c r="AI89" i="2"/>
  <c r="AJ89" i="2"/>
  <c r="AK89" i="2"/>
  <c r="AL89" i="2"/>
  <c r="AN89" i="2"/>
  <c r="AU89" i="2"/>
  <c r="AV89" i="2"/>
  <c r="EE89" i="2"/>
  <c r="EF89" i="2"/>
  <c r="EG89" i="2"/>
  <c r="EH89" i="2"/>
  <c r="EJ89" i="2"/>
  <c r="EK89" i="2"/>
  <c r="EL89" i="2"/>
  <c r="EM89" i="2"/>
  <c r="EN89" i="2"/>
  <c r="S90" i="2"/>
  <c r="AF90" i="2"/>
  <c r="AG90" i="2"/>
  <c r="AH90" i="2"/>
  <c r="AI90" i="2"/>
  <c r="AJ90" i="2"/>
  <c r="AK90" i="2"/>
  <c r="AL90" i="2"/>
  <c r="AN90" i="2"/>
  <c r="AU90" i="2"/>
  <c r="AV90" i="2"/>
  <c r="EE90" i="2"/>
  <c r="EF90" i="2"/>
  <c r="EG90" i="2"/>
  <c r="EH90" i="2"/>
  <c r="EJ90" i="2"/>
  <c r="EK90" i="2"/>
  <c r="EL90" i="2"/>
  <c r="EM90" i="2"/>
  <c r="EN90" i="2"/>
  <c r="S101" i="2"/>
  <c r="AF101" i="2"/>
  <c r="AJ101" i="2"/>
  <c r="AK101" i="2"/>
  <c r="AL101" i="2"/>
  <c r="AU101" i="2"/>
  <c r="AV101" i="2"/>
  <c r="AH102" i="2"/>
  <c r="AJ102" i="2"/>
  <c r="AK102" i="2"/>
  <c r="AL102" i="2"/>
  <c r="AU102" i="2"/>
  <c r="S103" i="2"/>
  <c r="AF103" i="2"/>
  <c r="AG103" i="2"/>
  <c r="CX103" i="2" s="1"/>
  <c r="AH103" i="2"/>
  <c r="DH103" i="2" s="1"/>
  <c r="AI103" i="2"/>
  <c r="AJ103" i="2"/>
  <c r="AK103" i="2"/>
  <c r="AL103" i="2"/>
  <c r="AN103" i="2"/>
  <c r="AU103" i="2"/>
  <c r="AV103" i="2"/>
  <c r="CG103" i="2"/>
  <c r="CH103" i="2"/>
  <c r="CI103" i="2"/>
  <c r="CJ103" i="2"/>
  <c r="CK103" i="2"/>
  <c r="CL103" i="2"/>
  <c r="CM103" i="2"/>
  <c r="CN103" i="2"/>
  <c r="CO103" i="2"/>
  <c r="CP103" i="2"/>
  <c r="CQ103" i="2"/>
  <c r="CR103" i="2"/>
  <c r="CS103" i="2"/>
  <c r="CT103" i="2"/>
  <c r="CU103" i="2"/>
  <c r="CV103" i="2"/>
  <c r="CW103" i="2"/>
  <c r="CY103" i="2"/>
  <c r="CZ103" i="2"/>
  <c r="DA103" i="2"/>
  <c r="DB103" i="2"/>
  <c r="DC103" i="2"/>
  <c r="DD103" i="2"/>
  <c r="DE103" i="2"/>
  <c r="DF103" i="2"/>
  <c r="DG103" i="2"/>
  <c r="DI103" i="2"/>
  <c r="DJ103" i="2"/>
  <c r="DM103" i="2"/>
  <c r="DN103" i="2"/>
  <c r="DO103" i="2"/>
  <c r="DP103" i="2"/>
  <c r="DQ103" i="2"/>
  <c r="DR103" i="2"/>
  <c r="DS103" i="2"/>
  <c r="DT103" i="2"/>
  <c r="DU103" i="2"/>
  <c r="DV103" i="2"/>
  <c r="DW103" i="2"/>
  <c r="DX103" i="2"/>
  <c r="DY103" i="2"/>
  <c r="EA103" i="2"/>
  <c r="EB103" i="2"/>
  <c r="EE103" i="2"/>
  <c r="EF103" i="2"/>
  <c r="EG103" i="2"/>
  <c r="EH103" i="2"/>
  <c r="EI103" i="2"/>
  <c r="EJ103" i="2"/>
  <c r="EK103" i="2"/>
  <c r="DZ103" i="2" s="1"/>
  <c r="EL103" i="2"/>
  <c r="EM103" i="2"/>
  <c r="EN103" i="2"/>
  <c r="S104" i="2"/>
  <c r="AF104" i="2"/>
  <c r="AG104" i="2"/>
  <c r="CX104" i="2" s="1"/>
  <c r="AH104" i="2"/>
  <c r="DH104" i="2" s="1"/>
  <c r="AI104" i="2"/>
  <c r="AJ104" i="2"/>
  <c r="AK104" i="2"/>
  <c r="AL104" i="2"/>
  <c r="AN104" i="2"/>
  <c r="AU104" i="2"/>
  <c r="AV104" i="2"/>
  <c r="CG104" i="2"/>
  <c r="DK104" i="2" s="1"/>
  <c r="CH104" i="2"/>
  <c r="CI104" i="2"/>
  <c r="CJ104" i="2"/>
  <c r="CK104" i="2"/>
  <c r="CL104" i="2"/>
  <c r="CM104" i="2"/>
  <c r="CN104" i="2"/>
  <c r="CO104" i="2"/>
  <c r="CP104" i="2"/>
  <c r="CQ104" i="2"/>
  <c r="CR104" i="2"/>
  <c r="CS104" i="2"/>
  <c r="CT104" i="2"/>
  <c r="CU104" i="2"/>
  <c r="CV104" i="2"/>
  <c r="CW104" i="2"/>
  <c r="CY104" i="2"/>
  <c r="CZ104" i="2"/>
  <c r="DA104" i="2"/>
  <c r="DB104" i="2"/>
  <c r="DC104" i="2"/>
  <c r="DD104" i="2"/>
  <c r="DE104" i="2"/>
  <c r="DF104" i="2"/>
  <c r="DG104" i="2"/>
  <c r="DI104" i="2"/>
  <c r="DJ104" i="2"/>
  <c r="DM104" i="2"/>
  <c r="DN104" i="2"/>
  <c r="DO104" i="2"/>
  <c r="DP104" i="2"/>
  <c r="DQ104" i="2"/>
  <c r="DR104" i="2"/>
  <c r="DS104" i="2"/>
  <c r="DT104" i="2"/>
  <c r="DU104" i="2"/>
  <c r="DV104" i="2"/>
  <c r="DW104" i="2"/>
  <c r="DX104" i="2"/>
  <c r="DY104" i="2"/>
  <c r="EA104" i="2"/>
  <c r="EB104" i="2"/>
  <c r="EE104" i="2"/>
  <c r="EF104" i="2"/>
  <c r="EG104" i="2"/>
  <c r="EH104" i="2"/>
  <c r="EI104" i="2"/>
  <c r="EJ104" i="2"/>
  <c r="EK104" i="2"/>
  <c r="EL104" i="2"/>
  <c r="EM104" i="2"/>
  <c r="EN104" i="2"/>
  <c r="S107" i="2"/>
  <c r="AF107" i="2"/>
  <c r="AG107" i="2"/>
  <c r="CX107" i="2" s="1"/>
  <c r="AH107" i="2"/>
  <c r="DH107" i="2" s="1"/>
  <c r="AI107" i="2"/>
  <c r="AJ107" i="2"/>
  <c r="AK107" i="2"/>
  <c r="AL107" i="2"/>
  <c r="AN107" i="2"/>
  <c r="AU107" i="2"/>
  <c r="AV107" i="2"/>
  <c r="CG107" i="2"/>
  <c r="DL107" i="2" s="1"/>
  <c r="CH107" i="2"/>
  <c r="CI107" i="2"/>
  <c r="CJ107" i="2"/>
  <c r="CK107" i="2"/>
  <c r="CL107" i="2"/>
  <c r="CM107" i="2"/>
  <c r="CN107" i="2"/>
  <c r="CO107" i="2"/>
  <c r="CP107" i="2"/>
  <c r="CQ107" i="2"/>
  <c r="CR107" i="2"/>
  <c r="CS107" i="2"/>
  <c r="CT107" i="2"/>
  <c r="CU107" i="2"/>
  <c r="CV107" i="2"/>
  <c r="CW107" i="2"/>
  <c r="CY107" i="2"/>
  <c r="CZ107" i="2"/>
  <c r="DA107" i="2"/>
  <c r="DB107" i="2"/>
  <c r="DC107" i="2"/>
  <c r="DD107" i="2"/>
  <c r="DE107" i="2"/>
  <c r="DF107" i="2"/>
  <c r="DG107" i="2"/>
  <c r="DI107" i="2"/>
  <c r="DJ107" i="2"/>
  <c r="DM107" i="2"/>
  <c r="DN107" i="2"/>
  <c r="DO107" i="2"/>
  <c r="DP107" i="2"/>
  <c r="DQ107" i="2"/>
  <c r="DR107" i="2"/>
  <c r="DS107" i="2"/>
  <c r="DT107" i="2"/>
  <c r="DU107" i="2"/>
  <c r="DV107" i="2"/>
  <c r="DW107" i="2"/>
  <c r="DX107" i="2"/>
  <c r="DY107" i="2"/>
  <c r="EA107" i="2"/>
  <c r="EB107" i="2"/>
  <c r="EE107" i="2"/>
  <c r="EF107" i="2"/>
  <c r="EG107" i="2"/>
  <c r="EH107" i="2"/>
  <c r="EI107" i="2"/>
  <c r="EJ107" i="2"/>
  <c r="EK107" i="2"/>
  <c r="DZ107" i="2" s="1"/>
  <c r="EL107" i="2"/>
  <c r="EM107" i="2"/>
  <c r="EN107" i="2"/>
  <c r="S108" i="2"/>
  <c r="AF108" i="2"/>
  <c r="AG108" i="2"/>
  <c r="CX108" i="2" s="1"/>
  <c r="AH108" i="2"/>
  <c r="DH108" i="2" s="1"/>
  <c r="AI108" i="2"/>
  <c r="AJ108" i="2"/>
  <c r="AK108" i="2"/>
  <c r="AL108" i="2"/>
  <c r="AN108" i="2"/>
  <c r="AU108" i="2"/>
  <c r="AV108" i="2"/>
  <c r="CG108" i="2"/>
  <c r="CH108" i="2"/>
  <c r="CI108" i="2"/>
  <c r="CJ108" i="2"/>
  <c r="CK108" i="2"/>
  <c r="CL108" i="2"/>
  <c r="CM108" i="2"/>
  <c r="CN108" i="2"/>
  <c r="CO108" i="2"/>
  <c r="CP108" i="2"/>
  <c r="CQ108" i="2"/>
  <c r="CR108" i="2"/>
  <c r="CS108" i="2"/>
  <c r="CT108" i="2"/>
  <c r="CU108" i="2"/>
  <c r="CV108" i="2"/>
  <c r="CW108" i="2"/>
  <c r="CY108" i="2"/>
  <c r="CZ108" i="2"/>
  <c r="DA108" i="2"/>
  <c r="DB108" i="2"/>
  <c r="DC108" i="2"/>
  <c r="DD108" i="2"/>
  <c r="DE108" i="2"/>
  <c r="DF108" i="2"/>
  <c r="DG108" i="2"/>
  <c r="DI108" i="2"/>
  <c r="DJ108" i="2"/>
  <c r="DM108" i="2"/>
  <c r="DN108" i="2"/>
  <c r="DO108" i="2"/>
  <c r="DP108" i="2"/>
  <c r="DQ108" i="2"/>
  <c r="DR108" i="2"/>
  <c r="DS108" i="2"/>
  <c r="DT108" i="2"/>
  <c r="DU108" i="2"/>
  <c r="DV108" i="2"/>
  <c r="DW108" i="2"/>
  <c r="DX108" i="2"/>
  <c r="DY108" i="2"/>
  <c r="EA108" i="2"/>
  <c r="EB108" i="2"/>
  <c r="EE108" i="2"/>
  <c r="EF108" i="2"/>
  <c r="EG108" i="2"/>
  <c r="EH108" i="2"/>
  <c r="EI108" i="2"/>
  <c r="EJ108" i="2"/>
  <c r="EK108" i="2"/>
  <c r="DZ108" i="2" s="1"/>
  <c r="EL108" i="2"/>
  <c r="EM108" i="2"/>
  <c r="EN108" i="2"/>
  <c r="AO110" i="2"/>
  <c r="AP110" i="2" s="1"/>
  <c r="AQ110" i="2"/>
  <c r="AV110" i="2"/>
  <c r="CG110" i="2"/>
  <c r="CH110" i="2"/>
  <c r="CI110" i="2"/>
  <c r="CJ110" i="2"/>
  <c r="CK110" i="2"/>
  <c r="CL110" i="2"/>
  <c r="CM110" i="2"/>
  <c r="CN110" i="2"/>
  <c r="CO110" i="2"/>
  <c r="CP110" i="2"/>
  <c r="CQ110" i="2"/>
  <c r="CR110" i="2"/>
  <c r="CS110" i="2"/>
  <c r="CT110" i="2"/>
  <c r="DC110" i="2"/>
  <c r="DO110" i="2"/>
  <c r="EB110" i="2"/>
  <c r="S111" i="2"/>
  <c r="AF111" i="2"/>
  <c r="AG111" i="2"/>
  <c r="CX111" i="2" s="1"/>
  <c r="AH111" i="2"/>
  <c r="DH111" i="2" s="1"/>
  <c r="AI111" i="2"/>
  <c r="AJ111" i="2"/>
  <c r="AK111" i="2"/>
  <c r="AL111" i="2"/>
  <c r="AN111" i="2"/>
  <c r="AU111" i="2"/>
  <c r="AV111" i="2"/>
  <c r="CG111" i="2"/>
  <c r="CH111" i="2"/>
  <c r="CI111" i="2"/>
  <c r="CJ111" i="2"/>
  <c r="CK111" i="2"/>
  <c r="CL111" i="2"/>
  <c r="CM111" i="2"/>
  <c r="CN111" i="2"/>
  <c r="CP111" i="2"/>
  <c r="CQ111" i="2"/>
  <c r="CR111" i="2"/>
  <c r="CS111" i="2"/>
  <c r="CT111" i="2"/>
  <c r="CU111" i="2"/>
  <c r="CV111" i="2"/>
  <c r="CW111" i="2"/>
  <c r="CZ111" i="2"/>
  <c r="DA111" i="2"/>
  <c r="DB111" i="2"/>
  <c r="DC111" i="2"/>
  <c r="DF111" i="2"/>
  <c r="DG111" i="2"/>
  <c r="DI111" i="2"/>
  <c r="DJ111" i="2"/>
  <c r="DM111" i="2"/>
  <c r="DO111" i="2"/>
  <c r="DP111" i="2"/>
  <c r="DQ111" i="2"/>
  <c r="DR111" i="2"/>
  <c r="DS111" i="2"/>
  <c r="DT111" i="2"/>
  <c r="DU111" i="2"/>
  <c r="DW111" i="2"/>
  <c r="DX111" i="2"/>
  <c r="DY111" i="2"/>
  <c r="EB111" i="2"/>
  <c r="EE111" i="2"/>
  <c r="EF111" i="2"/>
  <c r="EG111" i="2"/>
  <c r="EH111" i="2"/>
  <c r="EI111" i="2"/>
  <c r="EJ111" i="2"/>
  <c r="EK111" i="2"/>
  <c r="EL111" i="2"/>
  <c r="EM111" i="2"/>
  <c r="EN111" i="2"/>
  <c r="AJ112" i="2"/>
  <c r="AK112" i="2"/>
  <c r="AL112" i="2"/>
  <c r="AN112" i="2"/>
  <c r="AO112" i="2"/>
  <c r="AP112" i="2" s="1"/>
  <c r="AQ112" i="2"/>
  <c r="AR112" i="2"/>
  <c r="AS112" i="2"/>
  <c r="AU112" i="2"/>
  <c r="AV112" i="2"/>
  <c r="CG112" i="2"/>
  <c r="CH112" i="2"/>
  <c r="CI112" i="2"/>
  <c r="CJ112" i="2"/>
  <c r="CK112" i="2"/>
  <c r="CL112" i="2"/>
  <c r="CM112" i="2"/>
  <c r="CN112" i="2"/>
  <c r="CP112" i="2"/>
  <c r="CQ112" i="2"/>
  <c r="CR112" i="2"/>
  <c r="CS112" i="2"/>
  <c r="CT112" i="2"/>
  <c r="DC112" i="2"/>
  <c r="DO112" i="2"/>
  <c r="DX112" i="2"/>
  <c r="DY112" i="2"/>
  <c r="EB112" i="2"/>
  <c r="S113" i="2"/>
  <c r="AF113" i="2"/>
  <c r="AG113" i="2"/>
  <c r="CX113" i="2" s="1"/>
  <c r="AH113" i="2"/>
  <c r="DH113" i="2" s="1"/>
  <c r="AI113" i="2"/>
  <c r="AJ113" i="2"/>
  <c r="AK113" i="2"/>
  <c r="AL113" i="2"/>
  <c r="AN113" i="2"/>
  <c r="AU113" i="2"/>
  <c r="AV113" i="2"/>
  <c r="CG113" i="2"/>
  <c r="CH113" i="2"/>
  <c r="CJ113" i="2"/>
  <c r="CK113" i="2"/>
  <c r="CL113" i="2"/>
  <c r="CM113" i="2"/>
  <c r="CN113" i="2"/>
  <c r="CP113" i="2"/>
  <c r="CQ113" i="2"/>
  <c r="CR113" i="2"/>
  <c r="CS113" i="2"/>
  <c r="CT113" i="2"/>
  <c r="CU113" i="2"/>
  <c r="CV113" i="2"/>
  <c r="CW113" i="2"/>
  <c r="CY113" i="2"/>
  <c r="DA113" i="2"/>
  <c r="DB113" i="2"/>
  <c r="DC113" i="2"/>
  <c r="DF113" i="2"/>
  <c r="DG113" i="2"/>
  <c r="DJ113" i="2"/>
  <c r="DM113" i="2"/>
  <c r="DO113" i="2"/>
  <c r="DP113" i="2"/>
  <c r="DQ113" i="2"/>
  <c r="DR113" i="2"/>
  <c r="DS113" i="2"/>
  <c r="DT113" i="2"/>
  <c r="DU113" i="2"/>
  <c r="DW113" i="2"/>
  <c r="DX113" i="2"/>
  <c r="DY113" i="2"/>
  <c r="EB113" i="2"/>
  <c r="EE113" i="2"/>
  <c r="EF113" i="2"/>
  <c r="EG113" i="2"/>
  <c r="EH113" i="2"/>
  <c r="EI113" i="2"/>
  <c r="EJ113" i="2"/>
  <c r="EK113" i="2"/>
  <c r="EL113" i="2"/>
  <c r="EM113" i="2"/>
  <c r="EN113" i="2"/>
  <c r="S114" i="2"/>
  <c r="AF114" i="2"/>
  <c r="AG114" i="2"/>
  <c r="CX114" i="2" s="1"/>
  <c r="AH114" i="2"/>
  <c r="DH114" i="2" s="1"/>
  <c r="AI114" i="2"/>
  <c r="AJ114" i="2"/>
  <c r="AK114" i="2"/>
  <c r="AL114" i="2"/>
  <c r="AN114" i="2"/>
  <c r="AU114" i="2"/>
  <c r="AV114" i="2"/>
  <c r="CG114" i="2"/>
  <c r="CH114" i="2"/>
  <c r="CJ114" i="2"/>
  <c r="CK114" i="2"/>
  <c r="CL114" i="2"/>
  <c r="CN114" i="2"/>
  <c r="CS114" i="2"/>
  <c r="CT114" i="2"/>
  <c r="CU114" i="2"/>
  <c r="CV114" i="2"/>
  <c r="CW114" i="2"/>
  <c r="DA114" i="2"/>
  <c r="DB114" i="2"/>
  <c r="DC114" i="2"/>
  <c r="DD114" i="2"/>
  <c r="DE114" i="2"/>
  <c r="DF114" i="2"/>
  <c r="DG114" i="2"/>
  <c r="DJ114" i="2"/>
  <c r="DM114" i="2"/>
  <c r="DN114" i="2"/>
  <c r="DO114" i="2"/>
  <c r="DP114" i="2"/>
  <c r="DQ114" i="2"/>
  <c r="DT114" i="2"/>
  <c r="DU114" i="2"/>
  <c r="DV114" i="2"/>
  <c r="DW114" i="2"/>
  <c r="DX114" i="2"/>
  <c r="DY114" i="2"/>
  <c r="EB114" i="2"/>
  <c r="EE114" i="2"/>
  <c r="EF114" i="2"/>
  <c r="EG114" i="2"/>
  <c r="EH114" i="2"/>
  <c r="EI114" i="2"/>
  <c r="EJ114" i="2"/>
  <c r="EK114" i="2"/>
  <c r="EL114" i="2"/>
  <c r="EM114" i="2"/>
  <c r="EN114" i="2"/>
  <c r="S115" i="2"/>
  <c r="AF115" i="2"/>
  <c r="AG115" i="2"/>
  <c r="CX115" i="2" s="1"/>
  <c r="AH115" i="2"/>
  <c r="DH115" i="2" s="1"/>
  <c r="AI115" i="2"/>
  <c r="AJ115" i="2"/>
  <c r="AK115" i="2"/>
  <c r="AL115" i="2"/>
  <c r="AN115" i="2"/>
  <c r="AU115" i="2"/>
  <c r="AV115" i="2"/>
  <c r="CG115" i="2"/>
  <c r="CH115" i="2"/>
  <c r="CJ115" i="2"/>
  <c r="CK115" i="2"/>
  <c r="CL115" i="2"/>
  <c r="CN115" i="2"/>
  <c r="CS115" i="2"/>
  <c r="CT115" i="2"/>
  <c r="CU115" i="2"/>
  <c r="CV115" i="2"/>
  <c r="CW115" i="2"/>
  <c r="CZ115" i="2"/>
  <c r="DA115" i="2"/>
  <c r="DB115" i="2"/>
  <c r="DC115" i="2"/>
  <c r="DD115" i="2"/>
  <c r="DE115" i="2"/>
  <c r="DF115" i="2"/>
  <c r="DG115" i="2"/>
  <c r="DI115" i="2"/>
  <c r="DJ115" i="2"/>
  <c r="DM115" i="2"/>
  <c r="DN115" i="2"/>
  <c r="DO115" i="2"/>
  <c r="DP115" i="2"/>
  <c r="DQ115" i="2"/>
  <c r="DT115" i="2"/>
  <c r="DU115" i="2"/>
  <c r="DV115" i="2"/>
  <c r="DW115" i="2"/>
  <c r="DX115" i="2"/>
  <c r="DY115" i="2"/>
  <c r="EB115" i="2"/>
  <c r="EE115" i="2"/>
  <c r="EF115" i="2"/>
  <c r="EG115" i="2"/>
  <c r="EH115" i="2"/>
  <c r="EI115" i="2"/>
  <c r="EJ115" i="2"/>
  <c r="EK115" i="2"/>
  <c r="DZ115" i="2" s="1"/>
  <c r="EL115" i="2"/>
  <c r="EM115" i="2"/>
  <c r="EN115" i="2"/>
  <c r="S117" i="2"/>
  <c r="AF117" i="2"/>
  <c r="AG117" i="2"/>
  <c r="CX117" i="2" s="1"/>
  <c r="AH117" i="2"/>
  <c r="DH117" i="2" s="1"/>
  <c r="AI117" i="2"/>
  <c r="AJ117" i="2"/>
  <c r="AK117" i="2"/>
  <c r="AL117" i="2"/>
  <c r="AN117" i="2"/>
  <c r="AU117" i="2"/>
  <c r="AV117" i="2"/>
  <c r="CG117" i="2"/>
  <c r="CH117" i="2"/>
  <c r="CI117" i="2"/>
  <c r="CJ117" i="2"/>
  <c r="CK117" i="2"/>
  <c r="CL117" i="2"/>
  <c r="CM117" i="2"/>
  <c r="CN117" i="2"/>
  <c r="CP117" i="2"/>
  <c r="CQ117" i="2"/>
  <c r="CR117" i="2"/>
  <c r="CS117" i="2"/>
  <c r="CT117" i="2"/>
  <c r="CU117" i="2"/>
  <c r="CV117" i="2"/>
  <c r="CW117" i="2"/>
  <c r="CZ117" i="2"/>
  <c r="DA117" i="2"/>
  <c r="DB117" i="2"/>
  <c r="DC117" i="2"/>
  <c r="DF117" i="2"/>
  <c r="DG117" i="2"/>
  <c r="DI117" i="2"/>
  <c r="DJ117" i="2"/>
  <c r="DM117" i="2"/>
  <c r="DN117" i="2"/>
  <c r="DO117" i="2"/>
  <c r="DP117" i="2"/>
  <c r="DQ117" i="2"/>
  <c r="DR117" i="2"/>
  <c r="DS117" i="2"/>
  <c r="DT117" i="2"/>
  <c r="DU117" i="2"/>
  <c r="DW117" i="2"/>
  <c r="DX117" i="2"/>
  <c r="DY117" i="2"/>
  <c r="EB117" i="2"/>
  <c r="EE117" i="2"/>
  <c r="EF117" i="2"/>
  <c r="EG117" i="2"/>
  <c r="EH117" i="2"/>
  <c r="EI117" i="2"/>
  <c r="EJ117" i="2"/>
  <c r="EK117" i="2"/>
  <c r="EL117" i="2"/>
  <c r="EM117" i="2"/>
  <c r="EN117" i="2"/>
  <c r="S118" i="2"/>
  <c r="AF118" i="2"/>
  <c r="AG118" i="2"/>
  <c r="CX118" i="2" s="1"/>
  <c r="AH118" i="2"/>
  <c r="DH118" i="2" s="1"/>
  <c r="AI118" i="2"/>
  <c r="AJ118" i="2"/>
  <c r="AK118" i="2"/>
  <c r="AL118" i="2"/>
  <c r="AN118" i="2"/>
  <c r="AU118" i="2"/>
  <c r="AV118" i="2"/>
  <c r="CG118" i="2"/>
  <c r="CH118" i="2"/>
  <c r="CI118" i="2"/>
  <c r="CJ118" i="2"/>
  <c r="CK118" i="2"/>
  <c r="CL118" i="2"/>
  <c r="CM118" i="2"/>
  <c r="CQ118" i="2"/>
  <c r="CR118" i="2"/>
  <c r="CS118" i="2"/>
  <c r="CT118" i="2"/>
  <c r="CU118" i="2"/>
  <c r="CV118" i="2"/>
  <c r="CW118" i="2"/>
  <c r="CY118" i="2"/>
  <c r="DA118" i="2"/>
  <c r="DB118" i="2"/>
  <c r="DC118" i="2"/>
  <c r="DF118" i="2"/>
  <c r="DG118" i="2"/>
  <c r="DJ118" i="2"/>
  <c r="DM118" i="2"/>
  <c r="DO118" i="2"/>
  <c r="DP118" i="2"/>
  <c r="DQ118" i="2"/>
  <c r="DR118" i="2"/>
  <c r="DS118" i="2"/>
  <c r="DT118" i="2"/>
  <c r="DU118" i="2"/>
  <c r="DW118" i="2"/>
  <c r="DX118" i="2"/>
  <c r="DY118" i="2"/>
  <c r="EB118" i="2"/>
  <c r="EE118" i="2"/>
  <c r="EF118" i="2"/>
  <c r="EG118" i="2"/>
  <c r="EH118" i="2"/>
  <c r="AR118" i="2" s="1"/>
  <c r="EI118" i="2"/>
  <c r="EJ118" i="2"/>
  <c r="EK118" i="2"/>
  <c r="EL118" i="2"/>
  <c r="EM118" i="2"/>
  <c r="EN118" i="2"/>
  <c r="S119" i="2"/>
  <c r="AF119" i="2"/>
  <c r="AJ119" i="2"/>
  <c r="AK119" i="2"/>
  <c r="AL119" i="2"/>
  <c r="AN119" i="2"/>
  <c r="AU119" i="2"/>
  <c r="AV119" i="2"/>
  <c r="S120" i="2"/>
  <c r="AF120" i="2"/>
  <c r="AJ120" i="2"/>
  <c r="AK120" i="2"/>
  <c r="AL120" i="2"/>
  <c r="AN120" i="2"/>
  <c r="AU120" i="2"/>
  <c r="AV120" i="2"/>
  <c r="S121" i="2"/>
  <c r="AF121" i="2"/>
  <c r="AG121" i="2"/>
  <c r="AH121" i="2"/>
  <c r="AJ121" i="2"/>
  <c r="AK121" i="2"/>
  <c r="AL121" i="2"/>
  <c r="AN121" i="2"/>
  <c r="AU121" i="2"/>
  <c r="AV121" i="2"/>
  <c r="S122" i="2"/>
  <c r="AF122" i="2"/>
  <c r="AG122" i="2"/>
  <c r="AH122" i="2"/>
  <c r="AI122" i="2"/>
  <c r="AJ122" i="2"/>
  <c r="AK122" i="2"/>
  <c r="AL122" i="2"/>
  <c r="AN122" i="2"/>
  <c r="AU122" i="2"/>
  <c r="AV122" i="2"/>
  <c r="EE122" i="2"/>
  <c r="EF122" i="2"/>
  <c r="EG122" i="2"/>
  <c r="EH122" i="2"/>
  <c r="EI122" i="2"/>
  <c r="EJ122" i="2"/>
  <c r="EK122" i="2"/>
  <c r="EL122" i="2"/>
  <c r="EM122" i="2"/>
  <c r="EN122" i="2"/>
  <c r="S123" i="2"/>
  <c r="Z123" i="2"/>
  <c r="AA123" i="2"/>
  <c r="AB123" i="2"/>
  <c r="AC123" i="2"/>
  <c r="AF123" i="2"/>
  <c r="AG123" i="2"/>
  <c r="CX123" i="2" s="1"/>
  <c r="AH123" i="2"/>
  <c r="DH123" i="2" s="1"/>
  <c r="AI123" i="2"/>
  <c r="AJ123" i="2"/>
  <c r="AK123" i="2"/>
  <c r="AL123" i="2"/>
  <c r="AN123" i="2"/>
  <c r="AU123" i="2"/>
  <c r="AV123" i="2"/>
  <c r="CG123" i="2"/>
  <c r="CH123" i="2"/>
  <c r="CI123" i="2"/>
  <c r="CJ123" i="2"/>
  <c r="CK123" i="2"/>
  <c r="CL123" i="2"/>
  <c r="CM123" i="2"/>
  <c r="CN123" i="2"/>
  <c r="CO123" i="2"/>
  <c r="CP123" i="2"/>
  <c r="CQ123" i="2"/>
  <c r="CR123" i="2"/>
  <c r="CS123" i="2"/>
  <c r="CT123" i="2"/>
  <c r="CU123" i="2"/>
  <c r="CV123" i="2"/>
  <c r="CW123" i="2"/>
  <c r="CY123" i="2"/>
  <c r="CZ123" i="2"/>
  <c r="DA123" i="2"/>
  <c r="DB123" i="2"/>
  <c r="DC123" i="2"/>
  <c r="DD123" i="2"/>
  <c r="DE123" i="2"/>
  <c r="DF123" i="2"/>
  <c r="DG123" i="2"/>
  <c r="DI123" i="2"/>
  <c r="DJ123" i="2"/>
  <c r="DM123" i="2"/>
  <c r="DN123" i="2"/>
  <c r="DO123" i="2"/>
  <c r="DP123" i="2"/>
  <c r="DQ123" i="2"/>
  <c r="DR123" i="2"/>
  <c r="DS123" i="2"/>
  <c r="DT123" i="2"/>
  <c r="DU123" i="2"/>
  <c r="DV123" i="2"/>
  <c r="DW123" i="2"/>
  <c r="DX123" i="2"/>
  <c r="DY123" i="2"/>
  <c r="EA123" i="2"/>
  <c r="EB123" i="2"/>
  <c r="EE123" i="2"/>
  <c r="EF123" i="2"/>
  <c r="EG123" i="2"/>
  <c r="EH123" i="2"/>
  <c r="EI123" i="2"/>
  <c r="EJ123" i="2"/>
  <c r="EK123" i="2"/>
  <c r="DZ123" i="2" s="1"/>
  <c r="EL123" i="2"/>
  <c r="EM123" i="2"/>
  <c r="EN123" i="2"/>
  <c r="AF124" i="2"/>
  <c r="AN124" i="2"/>
  <c r="AO124" i="2"/>
  <c r="AP124" i="2" s="1"/>
  <c r="AQ124" i="2"/>
  <c r="AU124" i="2"/>
  <c r="AV124" i="2"/>
  <c r="CG124" i="2"/>
  <c r="CH124" i="2"/>
  <c r="CI124" i="2"/>
  <c r="CJ124" i="2"/>
  <c r="CK124" i="2"/>
  <c r="CL124" i="2"/>
  <c r="CM124" i="2"/>
  <c r="CN124" i="2"/>
  <c r="CO124" i="2"/>
  <c r="CP124" i="2"/>
  <c r="CQ124" i="2"/>
  <c r="CR124" i="2"/>
  <c r="CS124" i="2"/>
  <c r="CT124" i="2"/>
  <c r="DC124" i="2"/>
  <c r="DN124" i="2"/>
  <c r="DO124" i="2"/>
  <c r="DP124" i="2"/>
  <c r="EA124" i="2"/>
  <c r="EB124" i="2"/>
  <c r="S125" i="2"/>
  <c r="Z125" i="2"/>
  <c r="AA125" i="2"/>
  <c r="AB125" i="2"/>
  <c r="AC125" i="2"/>
  <c r="AF125" i="2"/>
  <c r="AG125" i="2"/>
  <c r="CX125" i="2" s="1"/>
  <c r="AH125" i="2"/>
  <c r="DH125" i="2" s="1"/>
  <c r="AI125" i="2"/>
  <c r="AJ125" i="2"/>
  <c r="AK125" i="2"/>
  <c r="AL125" i="2"/>
  <c r="AN125" i="2"/>
  <c r="AU125" i="2"/>
  <c r="AV125" i="2"/>
  <c r="CG125" i="2"/>
  <c r="CH125" i="2"/>
  <c r="CI125" i="2"/>
  <c r="CJ125" i="2"/>
  <c r="CK125" i="2"/>
  <c r="CL125" i="2"/>
  <c r="CM125" i="2"/>
  <c r="CN125" i="2"/>
  <c r="CO125" i="2"/>
  <c r="CP125" i="2"/>
  <c r="CQ125" i="2"/>
  <c r="CR125" i="2"/>
  <c r="CS125" i="2"/>
  <c r="CT125" i="2"/>
  <c r="CU125" i="2"/>
  <c r="CV125" i="2"/>
  <c r="CW125" i="2"/>
  <c r="CY125" i="2"/>
  <c r="CZ125" i="2"/>
  <c r="DA125" i="2"/>
  <c r="DB125" i="2"/>
  <c r="DC125" i="2"/>
  <c r="DD125" i="2"/>
  <c r="DE125" i="2"/>
  <c r="DF125" i="2"/>
  <c r="DG125" i="2"/>
  <c r="DI125" i="2"/>
  <c r="DJ125" i="2"/>
  <c r="DM125" i="2"/>
  <c r="DN125" i="2"/>
  <c r="DO125" i="2"/>
  <c r="DP125" i="2"/>
  <c r="DQ125" i="2"/>
  <c r="DR125" i="2"/>
  <c r="DS125" i="2"/>
  <c r="DT125" i="2"/>
  <c r="DU125" i="2"/>
  <c r="DV125" i="2"/>
  <c r="DW125" i="2"/>
  <c r="DX125" i="2"/>
  <c r="DY125" i="2"/>
  <c r="EA125" i="2"/>
  <c r="EB125" i="2"/>
  <c r="EE125" i="2"/>
  <c r="EF125" i="2"/>
  <c r="EG125" i="2"/>
  <c r="EH125" i="2"/>
  <c r="EI125" i="2"/>
  <c r="EJ125" i="2"/>
  <c r="EK125" i="2"/>
  <c r="DZ125" i="2" s="1"/>
  <c r="EL125" i="2"/>
  <c r="EM125" i="2"/>
  <c r="EN125" i="2"/>
  <c r="S126" i="2"/>
  <c r="Z126" i="2"/>
  <c r="AA126" i="2"/>
  <c r="AB126" i="2"/>
  <c r="AC126" i="2"/>
  <c r="AF126" i="2"/>
  <c r="AG126" i="2"/>
  <c r="CX126" i="2" s="1"/>
  <c r="AH126" i="2"/>
  <c r="DH126" i="2" s="1"/>
  <c r="AI126" i="2"/>
  <c r="AJ126" i="2"/>
  <c r="AK126" i="2"/>
  <c r="AL126" i="2"/>
  <c r="AN126" i="2"/>
  <c r="AU126" i="2"/>
  <c r="AV126" i="2"/>
  <c r="CG126" i="2"/>
  <c r="CH126" i="2"/>
  <c r="CI126" i="2"/>
  <c r="CJ126" i="2"/>
  <c r="CK126" i="2"/>
  <c r="CL126" i="2"/>
  <c r="CM126" i="2"/>
  <c r="CN126" i="2"/>
  <c r="CO126" i="2"/>
  <c r="CP126" i="2"/>
  <c r="CQ126" i="2"/>
  <c r="CR126" i="2"/>
  <c r="CS126" i="2"/>
  <c r="CT126" i="2"/>
  <c r="CU126" i="2"/>
  <c r="CV126" i="2"/>
  <c r="CW126" i="2"/>
  <c r="CY126" i="2"/>
  <c r="CZ126" i="2"/>
  <c r="DA126" i="2"/>
  <c r="DB126" i="2"/>
  <c r="DC126" i="2"/>
  <c r="DD126" i="2"/>
  <c r="DE126" i="2"/>
  <c r="DF126" i="2"/>
  <c r="DG126" i="2"/>
  <c r="DI126" i="2"/>
  <c r="DJ126" i="2"/>
  <c r="DM126" i="2"/>
  <c r="DN126" i="2"/>
  <c r="DO126" i="2"/>
  <c r="DP126" i="2"/>
  <c r="DQ126" i="2"/>
  <c r="DR126" i="2"/>
  <c r="DS126" i="2"/>
  <c r="DT126" i="2"/>
  <c r="DU126" i="2"/>
  <c r="DV126" i="2"/>
  <c r="DW126" i="2"/>
  <c r="DX126" i="2"/>
  <c r="DY126" i="2"/>
  <c r="EA126" i="2"/>
  <c r="EB126" i="2"/>
  <c r="EE126" i="2"/>
  <c r="EF126" i="2"/>
  <c r="EG126" i="2"/>
  <c r="EH126" i="2"/>
  <c r="EI126" i="2"/>
  <c r="EJ126" i="2"/>
  <c r="EK126" i="2"/>
  <c r="EL126" i="2"/>
  <c r="EM126" i="2"/>
  <c r="EN126" i="2"/>
  <c r="S127" i="2"/>
  <c r="Z127" i="2"/>
  <c r="AA127" i="2"/>
  <c r="AB127" i="2"/>
  <c r="AC127" i="2"/>
  <c r="AF127" i="2"/>
  <c r="AG127" i="2"/>
  <c r="CX127" i="2" s="1"/>
  <c r="AH127" i="2"/>
  <c r="DH127" i="2" s="1"/>
  <c r="AI127" i="2"/>
  <c r="AJ127" i="2"/>
  <c r="AK127" i="2"/>
  <c r="AL127" i="2"/>
  <c r="AN127" i="2"/>
  <c r="AU127" i="2"/>
  <c r="AV127" i="2"/>
  <c r="CG127" i="2"/>
  <c r="CH127" i="2"/>
  <c r="CI127" i="2"/>
  <c r="CJ127" i="2"/>
  <c r="CK127" i="2"/>
  <c r="CL127" i="2"/>
  <c r="CM127" i="2"/>
  <c r="CN127" i="2"/>
  <c r="CO127" i="2"/>
  <c r="CP127" i="2"/>
  <c r="CQ127" i="2"/>
  <c r="CR127" i="2"/>
  <c r="CS127" i="2"/>
  <c r="CT127" i="2"/>
  <c r="CU127" i="2"/>
  <c r="CV127" i="2"/>
  <c r="CW127" i="2"/>
  <c r="CY127" i="2"/>
  <c r="CZ127" i="2"/>
  <c r="DA127" i="2"/>
  <c r="DB127" i="2"/>
  <c r="DC127" i="2"/>
  <c r="DD127" i="2"/>
  <c r="DE127" i="2"/>
  <c r="DF127" i="2"/>
  <c r="DG127" i="2"/>
  <c r="DI127" i="2"/>
  <c r="DJ127" i="2"/>
  <c r="DM127" i="2"/>
  <c r="DN127" i="2"/>
  <c r="DO127" i="2"/>
  <c r="DP127" i="2"/>
  <c r="DQ127" i="2"/>
  <c r="DR127" i="2"/>
  <c r="DS127" i="2"/>
  <c r="DT127" i="2"/>
  <c r="DU127" i="2"/>
  <c r="DV127" i="2"/>
  <c r="DW127" i="2"/>
  <c r="DX127" i="2"/>
  <c r="DY127" i="2"/>
  <c r="EA127" i="2"/>
  <c r="EB127" i="2"/>
  <c r="EE127" i="2"/>
  <c r="EF127" i="2"/>
  <c r="EG127" i="2"/>
  <c r="EH127" i="2"/>
  <c r="EI127" i="2"/>
  <c r="EJ127" i="2"/>
  <c r="EK127" i="2"/>
  <c r="EL127" i="2"/>
  <c r="EM127" i="2"/>
  <c r="EN127" i="2"/>
  <c r="S128" i="2"/>
  <c r="Z128" i="2"/>
  <c r="AA128" i="2"/>
  <c r="AB128" i="2"/>
  <c r="AC128" i="2"/>
  <c r="AF128" i="2"/>
  <c r="AG128" i="2"/>
  <c r="CX128" i="2" s="1"/>
  <c r="AH128" i="2"/>
  <c r="DH128" i="2" s="1"/>
  <c r="AI128" i="2"/>
  <c r="AJ128" i="2"/>
  <c r="AK128" i="2"/>
  <c r="AL128" i="2"/>
  <c r="AN128" i="2"/>
  <c r="AU128" i="2"/>
  <c r="AV128" i="2"/>
  <c r="CG128" i="2"/>
  <c r="CH128" i="2"/>
  <c r="CI128" i="2"/>
  <c r="CJ128" i="2"/>
  <c r="CK128" i="2"/>
  <c r="CL128" i="2"/>
  <c r="CM128" i="2"/>
  <c r="CN128" i="2"/>
  <c r="CO128" i="2"/>
  <c r="CP128" i="2"/>
  <c r="CQ128" i="2"/>
  <c r="CR128" i="2"/>
  <c r="CS128" i="2"/>
  <c r="CT128" i="2"/>
  <c r="CU128" i="2"/>
  <c r="CV128" i="2"/>
  <c r="CW128" i="2"/>
  <c r="CY128" i="2"/>
  <c r="CZ128" i="2"/>
  <c r="DA128" i="2"/>
  <c r="DB128" i="2"/>
  <c r="DC128" i="2"/>
  <c r="DD128" i="2"/>
  <c r="DE128" i="2"/>
  <c r="DF128" i="2"/>
  <c r="DG128" i="2"/>
  <c r="DI128" i="2"/>
  <c r="DJ128" i="2"/>
  <c r="DM128" i="2"/>
  <c r="DN128" i="2"/>
  <c r="DO128" i="2"/>
  <c r="DP128" i="2"/>
  <c r="DQ128" i="2"/>
  <c r="DR128" i="2"/>
  <c r="DS128" i="2"/>
  <c r="DT128" i="2"/>
  <c r="DU128" i="2"/>
  <c r="DV128" i="2"/>
  <c r="DW128" i="2"/>
  <c r="DX128" i="2"/>
  <c r="DY128" i="2"/>
  <c r="EA128" i="2"/>
  <c r="EB128" i="2"/>
  <c r="EE128" i="2"/>
  <c r="EF128" i="2"/>
  <c r="EG128" i="2"/>
  <c r="EH128" i="2"/>
  <c r="EI128" i="2"/>
  <c r="EJ128" i="2"/>
  <c r="EK128" i="2"/>
  <c r="DZ128" i="2" s="1"/>
  <c r="EL128" i="2"/>
  <c r="EM128" i="2"/>
  <c r="EN128" i="2"/>
  <c r="S129" i="2"/>
  <c r="Z129" i="2"/>
  <c r="AA129" i="2"/>
  <c r="AB129" i="2"/>
  <c r="AC129" i="2"/>
  <c r="AF129" i="2"/>
  <c r="AG129" i="2"/>
  <c r="CX129" i="2" s="1"/>
  <c r="AH129" i="2"/>
  <c r="DH129" i="2" s="1"/>
  <c r="AI129" i="2"/>
  <c r="AJ129" i="2"/>
  <c r="AK129" i="2"/>
  <c r="AL129" i="2"/>
  <c r="AN129" i="2"/>
  <c r="AU129" i="2"/>
  <c r="AV129" i="2"/>
  <c r="CG129" i="2"/>
  <c r="CH129" i="2"/>
  <c r="CI129" i="2"/>
  <c r="CJ129" i="2"/>
  <c r="CK129" i="2"/>
  <c r="CL129" i="2"/>
  <c r="CM129" i="2"/>
  <c r="CN129" i="2"/>
  <c r="CO129" i="2"/>
  <c r="CP129" i="2"/>
  <c r="CQ129" i="2"/>
  <c r="CR129" i="2"/>
  <c r="CS129" i="2"/>
  <c r="CT129" i="2"/>
  <c r="CU129" i="2"/>
  <c r="CV129" i="2"/>
  <c r="CW129" i="2"/>
  <c r="CY129" i="2"/>
  <c r="CZ129" i="2"/>
  <c r="DA129" i="2"/>
  <c r="DB129" i="2"/>
  <c r="DC129" i="2"/>
  <c r="DD129" i="2"/>
  <c r="DE129" i="2"/>
  <c r="DF129" i="2"/>
  <c r="DG129" i="2"/>
  <c r="DI129" i="2"/>
  <c r="DJ129" i="2"/>
  <c r="DM129" i="2"/>
  <c r="DN129" i="2"/>
  <c r="DO129" i="2"/>
  <c r="DP129" i="2"/>
  <c r="DQ129" i="2"/>
  <c r="DR129" i="2"/>
  <c r="DS129" i="2"/>
  <c r="DT129" i="2"/>
  <c r="DU129" i="2"/>
  <c r="DV129" i="2"/>
  <c r="DW129" i="2"/>
  <c r="DX129" i="2"/>
  <c r="DY129" i="2"/>
  <c r="EA129" i="2"/>
  <c r="EB129" i="2"/>
  <c r="EE129" i="2"/>
  <c r="EF129" i="2"/>
  <c r="EG129" i="2"/>
  <c r="EH129" i="2"/>
  <c r="EI129" i="2"/>
  <c r="EJ129" i="2"/>
  <c r="EK129" i="2"/>
  <c r="EL129" i="2"/>
  <c r="EM129" i="2"/>
  <c r="EN129" i="2"/>
  <c r="S130" i="2"/>
  <c r="Z130" i="2"/>
  <c r="AA130" i="2"/>
  <c r="AB130" i="2"/>
  <c r="AC130" i="2"/>
  <c r="AF130" i="2"/>
  <c r="AG130" i="2"/>
  <c r="CX130" i="2" s="1"/>
  <c r="AH130" i="2"/>
  <c r="DH130" i="2" s="1"/>
  <c r="AI130" i="2"/>
  <c r="AJ130" i="2"/>
  <c r="AK130" i="2"/>
  <c r="AL130" i="2"/>
  <c r="AN130" i="2"/>
  <c r="AU130" i="2"/>
  <c r="AV130" i="2"/>
  <c r="CG130" i="2"/>
  <c r="CH130" i="2"/>
  <c r="CI130" i="2"/>
  <c r="CJ130" i="2"/>
  <c r="CK130" i="2"/>
  <c r="CL130" i="2"/>
  <c r="CM130" i="2"/>
  <c r="CN130" i="2"/>
  <c r="CO130" i="2"/>
  <c r="CP130" i="2"/>
  <c r="CQ130" i="2"/>
  <c r="CR130" i="2"/>
  <c r="CS130" i="2"/>
  <c r="CT130" i="2"/>
  <c r="CU130" i="2"/>
  <c r="CV130" i="2"/>
  <c r="CW130" i="2"/>
  <c r="CY130" i="2"/>
  <c r="CZ130" i="2"/>
  <c r="DA130" i="2"/>
  <c r="DB130" i="2"/>
  <c r="DC130" i="2"/>
  <c r="DD130" i="2"/>
  <c r="DE130" i="2"/>
  <c r="DF130" i="2"/>
  <c r="DG130" i="2"/>
  <c r="DI130" i="2"/>
  <c r="DJ130" i="2"/>
  <c r="DM130" i="2"/>
  <c r="DN130" i="2"/>
  <c r="DO130" i="2"/>
  <c r="DP130" i="2"/>
  <c r="DQ130" i="2"/>
  <c r="DR130" i="2"/>
  <c r="DS130" i="2"/>
  <c r="DT130" i="2"/>
  <c r="DU130" i="2"/>
  <c r="DV130" i="2"/>
  <c r="DW130" i="2"/>
  <c r="DX130" i="2"/>
  <c r="DY130" i="2"/>
  <c r="EA130" i="2"/>
  <c r="EB130" i="2"/>
  <c r="EE130" i="2"/>
  <c r="EF130" i="2"/>
  <c r="EG130" i="2"/>
  <c r="EH130" i="2"/>
  <c r="EI130" i="2"/>
  <c r="EJ130" i="2"/>
  <c r="EK130" i="2"/>
  <c r="DZ130" i="2" s="1"/>
  <c r="EL130" i="2"/>
  <c r="EM130" i="2"/>
  <c r="EN130" i="2"/>
  <c r="S7" i="1"/>
  <c r="AF7" i="1"/>
  <c r="AG7" i="1"/>
  <c r="AH7" i="1"/>
  <c r="DH7" i="1" s="1"/>
  <c r="AJ7" i="1"/>
  <c r="AK7" i="1"/>
  <c r="AL7" i="1"/>
  <c r="AU7" i="1"/>
  <c r="AV7" i="1"/>
  <c r="CG7" i="1"/>
  <c r="DL7" i="1" s="1"/>
  <c r="CH7" i="1"/>
  <c r="EC7" i="1"/>
  <c r="CI7" i="1"/>
  <c r="CJ7" i="1"/>
  <c r="CL7" i="1"/>
  <c r="CM7" i="1"/>
  <c r="CN7" i="1"/>
  <c r="CO7" i="1"/>
  <c r="CP7" i="1"/>
  <c r="CQ7" i="1"/>
  <c r="CR7" i="1"/>
  <c r="CS7" i="1"/>
  <c r="CT7" i="1"/>
  <c r="CU7" i="1"/>
  <c r="CV7" i="1"/>
  <c r="CW7" i="1"/>
  <c r="CX7" i="1"/>
  <c r="CY7" i="1"/>
  <c r="CZ7" i="1"/>
  <c r="DA7" i="1"/>
  <c r="DB7" i="1"/>
  <c r="DC7" i="1"/>
  <c r="DF7" i="1"/>
  <c r="DG7" i="1"/>
  <c r="DI7" i="1"/>
  <c r="DJ7" i="1"/>
  <c r="DM7" i="1"/>
  <c r="DN7" i="1"/>
  <c r="DO7" i="1"/>
  <c r="DP7" i="1"/>
  <c r="DQ7" i="1"/>
  <c r="DR7" i="1"/>
  <c r="DS7" i="1"/>
  <c r="DT7" i="1"/>
  <c r="DU7" i="1"/>
  <c r="DW7" i="1"/>
  <c r="DX7" i="1"/>
  <c r="DY7" i="1"/>
  <c r="EB7" i="1"/>
  <c r="EE7" i="1"/>
  <c r="EF7" i="1"/>
  <c r="EO7" i="1" s="1"/>
  <c r="EG7" i="1"/>
  <c r="AQ7" i="1" s="1"/>
  <c r="EH7" i="1"/>
  <c r="EI7" i="1"/>
  <c r="DZ7" i="1" s="1"/>
  <c r="EJ7" i="1"/>
  <c r="EK7" i="1"/>
  <c r="EL7" i="1"/>
  <c r="EM7" i="1"/>
  <c r="EN7" i="1"/>
  <c r="S8" i="1"/>
  <c r="AF8" i="1"/>
  <c r="AG8" i="1"/>
  <c r="CX8" i="1" s="1"/>
  <c r="AH8" i="1"/>
  <c r="DH8" i="1" s="1"/>
  <c r="AJ8" i="1"/>
  <c r="AK8" i="1"/>
  <c r="AL8" i="1"/>
  <c r="AU8" i="1"/>
  <c r="AV8" i="1"/>
  <c r="CG8" i="1"/>
  <c r="CH8" i="1"/>
  <c r="CI8" i="1"/>
  <c r="CJ8" i="1"/>
  <c r="CK8" i="1"/>
  <c r="CL8" i="1"/>
  <c r="CM8" i="1"/>
  <c r="CN8" i="1"/>
  <c r="CO8" i="1"/>
  <c r="CP8" i="1"/>
  <c r="CQ8" i="1"/>
  <c r="CR8" i="1"/>
  <c r="CS8" i="1"/>
  <c r="CT8" i="1"/>
  <c r="CU8" i="1"/>
  <c r="CV8" i="1"/>
  <c r="CW8" i="1"/>
  <c r="CY8" i="1"/>
  <c r="CZ8" i="1"/>
  <c r="DA8" i="1"/>
  <c r="DB8" i="1"/>
  <c r="DC8" i="1"/>
  <c r="DF8" i="1"/>
  <c r="DG8" i="1"/>
  <c r="DI8" i="1"/>
  <c r="DJ8" i="1"/>
  <c r="DM8" i="1"/>
  <c r="DN8" i="1"/>
  <c r="DO8" i="1"/>
  <c r="DP8" i="1"/>
  <c r="DQ8" i="1"/>
  <c r="DR8" i="1"/>
  <c r="DS8" i="1"/>
  <c r="DT8" i="1"/>
  <c r="DU8" i="1"/>
  <c r="DW8" i="1"/>
  <c r="DX8" i="1"/>
  <c r="DY8" i="1"/>
  <c r="EB8" i="1"/>
  <c r="EE8" i="1"/>
  <c r="EF8" i="1"/>
  <c r="EG8" i="1"/>
  <c r="AT8" i="1" s="1"/>
  <c r="EH8" i="1"/>
  <c r="EI8" i="1"/>
  <c r="DZ8" i="1" s="1"/>
  <c r="EJ8" i="1"/>
  <c r="EK8" i="1"/>
  <c r="EL8" i="1"/>
  <c r="EM8" i="1"/>
  <c r="EN8" i="1"/>
  <c r="S9" i="1"/>
  <c r="Z9" i="1"/>
  <c r="AA9" i="1"/>
  <c r="AB9" i="1"/>
  <c r="AC9" i="1"/>
  <c r="AF9" i="1"/>
  <c r="AG9" i="1"/>
  <c r="CX9" i="1" s="1"/>
  <c r="AH9" i="1"/>
  <c r="DH9" i="1" s="1"/>
  <c r="AI9" i="1"/>
  <c r="AJ9" i="1"/>
  <c r="AK9" i="1"/>
  <c r="AL9" i="1"/>
  <c r="AU9" i="1"/>
  <c r="AV9" i="1"/>
  <c r="CG9" i="1"/>
  <c r="DL9" i="1" s="1"/>
  <c r="CH9" i="1"/>
  <c r="EC9" i="1" s="1"/>
  <c r="CI9" i="1"/>
  <c r="CJ9" i="1"/>
  <c r="CK9" i="1"/>
  <c r="CL9" i="1"/>
  <c r="CM9" i="1"/>
  <c r="CN9" i="1"/>
  <c r="CO9" i="1"/>
  <c r="CP9" i="1"/>
  <c r="CQ9" i="1"/>
  <c r="CR9" i="1"/>
  <c r="CS9" i="1"/>
  <c r="CT9" i="1"/>
  <c r="CU9" i="1"/>
  <c r="CV9" i="1"/>
  <c r="CW9" i="1"/>
  <c r="CY9" i="1"/>
  <c r="CZ9" i="1"/>
  <c r="DA9" i="1"/>
  <c r="DB9" i="1"/>
  <c r="DC9" i="1"/>
  <c r="DD9" i="1"/>
  <c r="DE9" i="1"/>
  <c r="DF9" i="1"/>
  <c r="DG9" i="1"/>
  <c r="DI9" i="1"/>
  <c r="DJ9" i="1"/>
  <c r="DM9" i="1"/>
  <c r="DN9" i="1"/>
  <c r="DO9" i="1"/>
  <c r="DP9" i="1"/>
  <c r="DQ9" i="1"/>
  <c r="DR9" i="1"/>
  <c r="DS9" i="1"/>
  <c r="DT9" i="1"/>
  <c r="DU9" i="1"/>
  <c r="DV9" i="1"/>
  <c r="DW9" i="1"/>
  <c r="DX9" i="1"/>
  <c r="DY9" i="1"/>
  <c r="EB9" i="1"/>
  <c r="EE9" i="1"/>
  <c r="EF9" i="1"/>
  <c r="EG9" i="1"/>
  <c r="EH9" i="1"/>
  <c r="EI9" i="1"/>
  <c r="DZ9" i="1" s="1"/>
  <c r="EJ9" i="1"/>
  <c r="EK9" i="1"/>
  <c r="AM9" i="1" s="1"/>
  <c r="EL9" i="1"/>
  <c r="AN9" i="1" s="1"/>
  <c r="EM9" i="1"/>
  <c r="EN9" i="1"/>
  <c r="S10" i="1"/>
  <c r="Z10" i="1"/>
  <c r="AA10" i="1"/>
  <c r="AB10" i="1"/>
  <c r="AC10" i="1"/>
  <c r="AF10" i="1"/>
  <c r="AG10" i="1"/>
  <c r="CX10" i="1" s="1"/>
  <c r="AH10" i="1"/>
  <c r="DH10" i="1" s="1"/>
  <c r="AI10" i="1"/>
  <c r="AJ10" i="1"/>
  <c r="AK10" i="1"/>
  <c r="AL10" i="1"/>
  <c r="AU10" i="1"/>
  <c r="AV10" i="1"/>
  <c r="CG10" i="1"/>
  <c r="CH10" i="1"/>
  <c r="CI10" i="1"/>
  <c r="CJ10" i="1"/>
  <c r="CK10" i="1"/>
  <c r="CL10" i="1"/>
  <c r="CM10" i="1"/>
  <c r="CN10" i="1"/>
  <c r="CO10" i="1"/>
  <c r="CP10" i="1"/>
  <c r="CQ10" i="1"/>
  <c r="CR10" i="1"/>
  <c r="CS10" i="1"/>
  <c r="CT10" i="1"/>
  <c r="CU10" i="1"/>
  <c r="CV10" i="1"/>
  <c r="CW10" i="1"/>
  <c r="CY10" i="1"/>
  <c r="CZ10" i="1"/>
  <c r="DA10" i="1"/>
  <c r="DB10" i="1"/>
  <c r="DC10" i="1"/>
  <c r="DD10" i="1"/>
  <c r="DE10" i="1"/>
  <c r="DF10" i="1"/>
  <c r="DG10" i="1"/>
  <c r="DI10" i="1"/>
  <c r="DJ10" i="1"/>
  <c r="DM10" i="1"/>
  <c r="DN10" i="1"/>
  <c r="DO10" i="1"/>
  <c r="DP10" i="1"/>
  <c r="DQ10" i="1"/>
  <c r="DR10" i="1"/>
  <c r="DS10" i="1"/>
  <c r="DT10" i="1"/>
  <c r="DU10" i="1"/>
  <c r="DV10" i="1"/>
  <c r="DW10" i="1"/>
  <c r="DX10" i="1"/>
  <c r="DY10" i="1"/>
  <c r="EB10" i="1"/>
  <c r="EE10" i="1"/>
  <c r="EF10" i="1"/>
  <c r="EG10" i="1"/>
  <c r="EH10" i="1"/>
  <c r="EI10" i="1"/>
  <c r="DZ10" i="1" s="1"/>
  <c r="EJ10" i="1"/>
  <c r="EK10" i="1"/>
  <c r="EL10" i="1"/>
  <c r="EM10" i="1"/>
  <c r="EN10" i="1"/>
  <c r="S11" i="1"/>
  <c r="Z11" i="1"/>
  <c r="AA11" i="1"/>
  <c r="AB11" i="1"/>
  <c r="AC11" i="1"/>
  <c r="AF11" i="1"/>
  <c r="AG11" i="1"/>
  <c r="CX11" i="1" s="1"/>
  <c r="AH11" i="1"/>
  <c r="DH11" i="1" s="1"/>
  <c r="AI11" i="1"/>
  <c r="AJ11" i="1"/>
  <c r="AK11" i="1"/>
  <c r="AL11" i="1"/>
  <c r="AU11" i="1"/>
  <c r="AV11" i="1"/>
  <c r="CG11" i="1"/>
  <c r="CH11" i="1"/>
  <c r="CI11" i="1"/>
  <c r="CJ11" i="1"/>
  <c r="CK11" i="1"/>
  <c r="CL11" i="1"/>
  <c r="CM11" i="1"/>
  <c r="CN11" i="1"/>
  <c r="CO11" i="1"/>
  <c r="CP11" i="1"/>
  <c r="CQ11" i="1"/>
  <c r="CR11" i="1"/>
  <c r="CS11" i="1"/>
  <c r="CT11" i="1"/>
  <c r="CU11" i="1"/>
  <c r="CV11" i="1"/>
  <c r="CW11" i="1"/>
  <c r="CY11" i="1"/>
  <c r="CZ11" i="1"/>
  <c r="DA11" i="1"/>
  <c r="DB11" i="1"/>
  <c r="DC11" i="1"/>
  <c r="DD11" i="1"/>
  <c r="DE11" i="1"/>
  <c r="DF11" i="1"/>
  <c r="DG11" i="1"/>
  <c r="DI11" i="1"/>
  <c r="DJ11" i="1"/>
  <c r="DM11" i="1"/>
  <c r="DN11" i="1"/>
  <c r="DO11" i="1"/>
  <c r="DP11" i="1"/>
  <c r="DQ11" i="1"/>
  <c r="DR11" i="1"/>
  <c r="DS11" i="1"/>
  <c r="DT11" i="1"/>
  <c r="DU11" i="1"/>
  <c r="DV11" i="1"/>
  <c r="DW11" i="1"/>
  <c r="DX11" i="1"/>
  <c r="DY11" i="1"/>
  <c r="EB11" i="1"/>
  <c r="EE11" i="1"/>
  <c r="EF11" i="1"/>
  <c r="EG11" i="1"/>
  <c r="EO11" i="1" s="1"/>
  <c r="EH11" i="1"/>
  <c r="EI11" i="1"/>
  <c r="DZ11" i="1" s="1"/>
  <c r="EJ11" i="1"/>
  <c r="EK11" i="1"/>
  <c r="EL11" i="1"/>
  <c r="EM11" i="1"/>
  <c r="EN11" i="1"/>
  <c r="S12" i="1"/>
  <c r="Z12" i="1"/>
  <c r="AA12" i="1"/>
  <c r="AB12" i="1"/>
  <c r="AC12" i="1"/>
  <c r="AF12" i="1"/>
  <c r="AG12" i="1"/>
  <c r="CX12" i="1" s="1"/>
  <c r="AH12" i="1"/>
  <c r="DH12" i="1" s="1"/>
  <c r="AI12" i="1"/>
  <c r="AJ12" i="1"/>
  <c r="AK12" i="1"/>
  <c r="AL12" i="1"/>
  <c r="AU12" i="1"/>
  <c r="AV12" i="1"/>
  <c r="CG12" i="1"/>
  <c r="CH12" i="1"/>
  <c r="CI12" i="1"/>
  <c r="CJ12" i="1"/>
  <c r="CK12" i="1"/>
  <c r="CL12" i="1"/>
  <c r="CM12" i="1"/>
  <c r="CN12" i="1"/>
  <c r="CO12" i="1"/>
  <c r="CP12" i="1"/>
  <c r="CQ12" i="1"/>
  <c r="CR12" i="1"/>
  <c r="CS12" i="1"/>
  <c r="CT12" i="1"/>
  <c r="CU12" i="1"/>
  <c r="CV12" i="1"/>
  <c r="CW12" i="1"/>
  <c r="CY12" i="1"/>
  <c r="CZ12" i="1"/>
  <c r="DA12" i="1"/>
  <c r="DB12" i="1"/>
  <c r="DC12" i="1"/>
  <c r="DD12" i="1"/>
  <c r="DE12" i="1"/>
  <c r="DF12" i="1"/>
  <c r="DG12" i="1"/>
  <c r="DI12" i="1"/>
  <c r="DJ12" i="1"/>
  <c r="DM12" i="1"/>
  <c r="DN12" i="1"/>
  <c r="DO12" i="1"/>
  <c r="DP12" i="1"/>
  <c r="DQ12" i="1"/>
  <c r="DR12" i="1"/>
  <c r="DS12" i="1"/>
  <c r="DT12" i="1"/>
  <c r="DU12" i="1"/>
  <c r="DV12" i="1"/>
  <c r="DW12" i="1"/>
  <c r="DX12" i="1"/>
  <c r="DY12" i="1"/>
  <c r="EB12" i="1"/>
  <c r="EE12" i="1"/>
  <c r="EF12" i="1"/>
  <c r="EG12" i="1"/>
  <c r="EH12" i="1"/>
  <c r="EI12" i="1"/>
  <c r="DZ12" i="1" s="1"/>
  <c r="EJ12" i="1"/>
  <c r="EK12" i="1"/>
  <c r="EL12" i="1"/>
  <c r="EM12" i="1"/>
  <c r="EN12" i="1"/>
  <c r="S13" i="1"/>
  <c r="Z13" i="1"/>
  <c r="AA13" i="1"/>
  <c r="AB13" i="1"/>
  <c r="AC13" i="1"/>
  <c r="AF13" i="1"/>
  <c r="AG13" i="1"/>
  <c r="CX13" i="1" s="1"/>
  <c r="AH13" i="1"/>
  <c r="DH13" i="1" s="1"/>
  <c r="AI13" i="1"/>
  <c r="AJ13" i="1"/>
  <c r="AK13" i="1"/>
  <c r="AL13" i="1"/>
  <c r="AU13" i="1"/>
  <c r="AV13" i="1"/>
  <c r="CG13" i="1"/>
  <c r="CH13" i="1"/>
  <c r="CI13" i="1"/>
  <c r="CJ13" i="1"/>
  <c r="CK13" i="1"/>
  <c r="CL13" i="1"/>
  <c r="CM13" i="1"/>
  <c r="CN13" i="1"/>
  <c r="CO13" i="1"/>
  <c r="CP13" i="1"/>
  <c r="CQ13" i="1"/>
  <c r="CR13" i="1"/>
  <c r="CS13" i="1"/>
  <c r="CT13" i="1"/>
  <c r="CU13" i="1"/>
  <c r="CV13" i="1"/>
  <c r="CW13" i="1"/>
  <c r="CY13" i="1"/>
  <c r="CZ13" i="1"/>
  <c r="DA13" i="1"/>
  <c r="DB13" i="1"/>
  <c r="DC13" i="1"/>
  <c r="DD13" i="1"/>
  <c r="DE13" i="1"/>
  <c r="DF13" i="1"/>
  <c r="DG13" i="1"/>
  <c r="DI13" i="1"/>
  <c r="DJ13" i="1"/>
  <c r="DM13" i="1"/>
  <c r="DN13" i="1"/>
  <c r="DO13" i="1"/>
  <c r="DP13" i="1"/>
  <c r="DQ13" i="1"/>
  <c r="DR13" i="1"/>
  <c r="DS13" i="1"/>
  <c r="DT13" i="1"/>
  <c r="DU13" i="1"/>
  <c r="DV13" i="1"/>
  <c r="DW13" i="1"/>
  <c r="DX13" i="1"/>
  <c r="DY13" i="1"/>
  <c r="EB13" i="1"/>
  <c r="EE13" i="1"/>
  <c r="EO13" i="1" s="1"/>
  <c r="EF13" i="1"/>
  <c r="EG13" i="1"/>
  <c r="EH13" i="1"/>
  <c r="EI13" i="1"/>
  <c r="DZ13" i="1" s="1"/>
  <c r="EJ13" i="1"/>
  <c r="EK13" i="1"/>
  <c r="AQ13" i="1" s="1"/>
  <c r="EL13" i="1"/>
  <c r="EM13" i="1"/>
  <c r="EN13" i="1"/>
  <c r="S14" i="1"/>
  <c r="Z14" i="1"/>
  <c r="AA14" i="1"/>
  <c r="AB14" i="1"/>
  <c r="AC14" i="1"/>
  <c r="AF14" i="1"/>
  <c r="AG14" i="1"/>
  <c r="CX14" i="1" s="1"/>
  <c r="AH14" i="1"/>
  <c r="DH14" i="1" s="1"/>
  <c r="AI14" i="1"/>
  <c r="AJ14" i="1"/>
  <c r="AK14" i="1"/>
  <c r="AL14" i="1"/>
  <c r="AU14" i="1"/>
  <c r="AV14" i="1"/>
  <c r="CG14" i="1"/>
  <c r="CH14" i="1"/>
  <c r="CI14" i="1"/>
  <c r="CJ14" i="1"/>
  <c r="CK14" i="1"/>
  <c r="CL14" i="1"/>
  <c r="CM14" i="1"/>
  <c r="CN14" i="1"/>
  <c r="CO14" i="1"/>
  <c r="CP14" i="1"/>
  <c r="CQ14" i="1"/>
  <c r="CR14" i="1"/>
  <c r="CS14" i="1"/>
  <c r="CT14" i="1"/>
  <c r="CU14" i="1"/>
  <c r="CV14" i="1"/>
  <c r="CW14" i="1"/>
  <c r="CY14" i="1"/>
  <c r="CZ14" i="1"/>
  <c r="DA14" i="1"/>
  <c r="DB14" i="1"/>
  <c r="DC14" i="1"/>
  <c r="DD14" i="1"/>
  <c r="DE14" i="1"/>
  <c r="DF14" i="1"/>
  <c r="DG14" i="1"/>
  <c r="DI14" i="1"/>
  <c r="DJ14" i="1"/>
  <c r="DM14" i="1"/>
  <c r="DN14" i="1"/>
  <c r="DO14" i="1"/>
  <c r="DP14" i="1"/>
  <c r="DQ14" i="1"/>
  <c r="DR14" i="1"/>
  <c r="DS14" i="1"/>
  <c r="DT14" i="1"/>
  <c r="DU14" i="1"/>
  <c r="DV14" i="1"/>
  <c r="DW14" i="1"/>
  <c r="DX14" i="1"/>
  <c r="DY14" i="1"/>
  <c r="EB14" i="1"/>
  <c r="EE14" i="1"/>
  <c r="EF14" i="1"/>
  <c r="EG14" i="1"/>
  <c r="EH14" i="1"/>
  <c r="AS14" i="1" s="1"/>
  <c r="EI14" i="1"/>
  <c r="DZ14" i="1" s="1"/>
  <c r="EJ14" i="1"/>
  <c r="EK14" i="1"/>
  <c r="EL14" i="1"/>
  <c r="EM14" i="1"/>
  <c r="EN14" i="1"/>
  <c r="S15" i="1"/>
  <c r="Z15" i="1"/>
  <c r="AA15" i="1"/>
  <c r="AB15" i="1"/>
  <c r="AC15" i="1"/>
  <c r="AF15" i="1"/>
  <c r="AG15" i="1"/>
  <c r="CX15" i="1" s="1"/>
  <c r="AH15" i="1"/>
  <c r="DH15" i="1" s="1"/>
  <c r="AI15" i="1"/>
  <c r="AJ15" i="1"/>
  <c r="AK15" i="1"/>
  <c r="AL15" i="1"/>
  <c r="AU15" i="1"/>
  <c r="AV15" i="1"/>
  <c r="CG15" i="1"/>
  <c r="CH15" i="1"/>
  <c r="CI15" i="1"/>
  <c r="CJ15" i="1"/>
  <c r="CK15" i="1"/>
  <c r="DL15" i="1" s="1"/>
  <c r="CL15" i="1"/>
  <c r="CM15" i="1"/>
  <c r="CN15" i="1"/>
  <c r="CO15" i="1"/>
  <c r="CP15" i="1"/>
  <c r="CQ15" i="1"/>
  <c r="CR15" i="1"/>
  <c r="CS15" i="1"/>
  <c r="CT15" i="1"/>
  <c r="CU15" i="1"/>
  <c r="CV15" i="1"/>
  <c r="CW15" i="1"/>
  <c r="CY15" i="1"/>
  <c r="CZ15" i="1"/>
  <c r="DA15" i="1"/>
  <c r="DB15" i="1"/>
  <c r="DC15" i="1"/>
  <c r="DD15" i="1"/>
  <c r="DE15" i="1"/>
  <c r="DF15" i="1"/>
  <c r="DG15" i="1"/>
  <c r="DI15" i="1"/>
  <c r="DJ15" i="1"/>
  <c r="DM15" i="1"/>
  <c r="DN15" i="1"/>
  <c r="DO15" i="1"/>
  <c r="DP15" i="1"/>
  <c r="DQ15" i="1"/>
  <c r="DR15" i="1"/>
  <c r="DS15" i="1"/>
  <c r="DT15" i="1"/>
  <c r="DU15" i="1"/>
  <c r="DV15" i="1"/>
  <c r="DW15" i="1"/>
  <c r="DX15" i="1"/>
  <c r="DY15" i="1"/>
  <c r="EB15" i="1"/>
  <c r="EE15" i="1"/>
  <c r="EF15" i="1"/>
  <c r="EG15" i="1"/>
  <c r="EH15" i="1"/>
  <c r="EI15" i="1"/>
  <c r="DZ15" i="1" s="1"/>
  <c r="EJ15" i="1"/>
  <c r="EK15" i="1"/>
  <c r="EL15" i="1"/>
  <c r="EM15" i="1"/>
  <c r="EN15" i="1"/>
  <c r="S16" i="1"/>
  <c r="Z16" i="1"/>
  <c r="AA16" i="1"/>
  <c r="AB16" i="1"/>
  <c r="AC16" i="1"/>
  <c r="AF16" i="1"/>
  <c r="AG16" i="1"/>
  <c r="CX16" i="1" s="1"/>
  <c r="AH16" i="1"/>
  <c r="DH16" i="1" s="1"/>
  <c r="AI16" i="1"/>
  <c r="AJ16" i="1"/>
  <c r="AK16" i="1"/>
  <c r="AL16" i="1"/>
  <c r="AU16" i="1"/>
  <c r="AV16" i="1"/>
  <c r="CG16" i="1"/>
  <c r="CH16" i="1"/>
  <c r="CI16" i="1"/>
  <c r="CJ16" i="1"/>
  <c r="CK16" i="1"/>
  <c r="CL16" i="1"/>
  <c r="CM16" i="1"/>
  <c r="CN16" i="1"/>
  <c r="CO16" i="1"/>
  <c r="CP16" i="1"/>
  <c r="CQ16" i="1"/>
  <c r="CR16" i="1"/>
  <c r="CS16" i="1"/>
  <c r="CT16" i="1"/>
  <c r="CU16" i="1"/>
  <c r="CV16" i="1"/>
  <c r="CW16" i="1"/>
  <c r="CY16" i="1"/>
  <c r="CZ16" i="1"/>
  <c r="DA16" i="1"/>
  <c r="DB16" i="1"/>
  <c r="DC16" i="1"/>
  <c r="DD16" i="1"/>
  <c r="DE16" i="1"/>
  <c r="DF16" i="1"/>
  <c r="DG16" i="1"/>
  <c r="DI16" i="1"/>
  <c r="DJ16" i="1"/>
  <c r="DM16" i="1"/>
  <c r="DN16" i="1"/>
  <c r="DO16" i="1"/>
  <c r="DP16" i="1"/>
  <c r="DQ16" i="1"/>
  <c r="DR16" i="1"/>
  <c r="DS16" i="1"/>
  <c r="DT16" i="1"/>
  <c r="DU16" i="1"/>
  <c r="DV16" i="1"/>
  <c r="DW16" i="1"/>
  <c r="DX16" i="1"/>
  <c r="DY16" i="1"/>
  <c r="EB16" i="1"/>
  <c r="EE16" i="1"/>
  <c r="EF16" i="1"/>
  <c r="EG16" i="1"/>
  <c r="EH16" i="1"/>
  <c r="EI16" i="1"/>
  <c r="DZ16" i="1" s="1"/>
  <c r="EJ16" i="1"/>
  <c r="EK16" i="1"/>
  <c r="EL16" i="1"/>
  <c r="EM16" i="1"/>
  <c r="EN16" i="1"/>
  <c r="S17" i="1"/>
  <c r="Z17" i="1"/>
  <c r="AA17" i="1"/>
  <c r="AB17" i="1"/>
  <c r="AC17" i="1"/>
  <c r="AF17" i="1"/>
  <c r="AG17" i="1"/>
  <c r="CX17" i="1" s="1"/>
  <c r="AH17" i="1"/>
  <c r="DH17" i="1" s="1"/>
  <c r="AI17" i="1"/>
  <c r="AJ17" i="1"/>
  <c r="AK17" i="1"/>
  <c r="AL17" i="1"/>
  <c r="AU17" i="1"/>
  <c r="AV17" i="1"/>
  <c r="CG17" i="1"/>
  <c r="CH17" i="1"/>
  <c r="CI17" i="1"/>
  <c r="CJ17" i="1"/>
  <c r="CK17" i="1"/>
  <c r="CL17" i="1"/>
  <c r="CM17" i="1"/>
  <c r="CN17" i="1"/>
  <c r="CO17" i="1"/>
  <c r="CP17" i="1"/>
  <c r="CQ17" i="1"/>
  <c r="CR17" i="1"/>
  <c r="CS17" i="1"/>
  <c r="CT17" i="1"/>
  <c r="CU17" i="1"/>
  <c r="CV17" i="1"/>
  <c r="CW17" i="1"/>
  <c r="CY17" i="1"/>
  <c r="CZ17" i="1"/>
  <c r="DA17" i="1"/>
  <c r="DB17" i="1"/>
  <c r="DC17" i="1"/>
  <c r="DD17" i="1"/>
  <c r="DE17" i="1"/>
  <c r="DF17" i="1"/>
  <c r="DG17" i="1"/>
  <c r="DI17" i="1"/>
  <c r="DJ17" i="1"/>
  <c r="DM17" i="1"/>
  <c r="DN17" i="1"/>
  <c r="DO17" i="1"/>
  <c r="DP17" i="1"/>
  <c r="DQ17" i="1"/>
  <c r="DR17" i="1"/>
  <c r="DS17" i="1"/>
  <c r="DT17" i="1"/>
  <c r="DU17" i="1"/>
  <c r="DV17" i="1"/>
  <c r="DW17" i="1"/>
  <c r="DX17" i="1"/>
  <c r="DY17" i="1"/>
  <c r="EB17" i="1"/>
  <c r="EE17" i="1"/>
  <c r="EF17" i="1"/>
  <c r="EG17" i="1"/>
  <c r="EH17" i="1"/>
  <c r="EI17" i="1"/>
  <c r="DZ17" i="1" s="1"/>
  <c r="EJ17" i="1"/>
  <c r="EK17" i="1"/>
  <c r="AQ17" i="1" s="1"/>
  <c r="EL17" i="1"/>
  <c r="AN17" i="1" s="1"/>
  <c r="EM17" i="1"/>
  <c r="EN17" i="1"/>
  <c r="S18" i="1"/>
  <c r="Z18" i="1"/>
  <c r="AA18" i="1"/>
  <c r="AB18" i="1"/>
  <c r="AC18" i="1"/>
  <c r="AF18" i="1"/>
  <c r="AG18" i="1"/>
  <c r="CX18" i="1" s="1"/>
  <c r="AH18" i="1"/>
  <c r="DH18" i="1" s="1"/>
  <c r="AI18" i="1"/>
  <c r="AJ18" i="1"/>
  <c r="AK18" i="1"/>
  <c r="AL18" i="1"/>
  <c r="AU18" i="1"/>
  <c r="AV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Y18" i="1"/>
  <c r="CZ18" i="1"/>
  <c r="DA18" i="1"/>
  <c r="DB18" i="1"/>
  <c r="DC18" i="1"/>
  <c r="DD18" i="1"/>
  <c r="DE18" i="1"/>
  <c r="DF18" i="1"/>
  <c r="DG18" i="1"/>
  <c r="DI18" i="1"/>
  <c r="DJ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EB18" i="1"/>
  <c r="EE18" i="1"/>
  <c r="EF18" i="1"/>
  <c r="EG18" i="1"/>
  <c r="AN18" i="1" s="1"/>
  <c r="EH18" i="1"/>
  <c r="EI18" i="1"/>
  <c r="DZ18" i="1" s="1"/>
  <c r="EJ18" i="1"/>
  <c r="EK18" i="1"/>
  <c r="AP18" i="1" s="1"/>
  <c r="EL18" i="1"/>
  <c r="EM18" i="1"/>
  <c r="EN18" i="1"/>
  <c r="S19" i="1"/>
  <c r="Z19" i="1"/>
  <c r="AA19" i="1"/>
  <c r="AB19" i="1"/>
  <c r="AC19" i="1"/>
  <c r="AF19" i="1"/>
  <c r="AG19" i="1"/>
  <c r="CX19" i="1" s="1"/>
  <c r="AH19" i="1"/>
  <c r="DH19" i="1" s="1"/>
  <c r="AI19" i="1"/>
  <c r="AJ19" i="1"/>
  <c r="AK19" i="1"/>
  <c r="AL19" i="1"/>
  <c r="AU19" i="1"/>
  <c r="AV19" i="1"/>
  <c r="CG19" i="1"/>
  <c r="CH19" i="1"/>
  <c r="CI19" i="1"/>
  <c r="CJ19" i="1"/>
  <c r="CK19" i="1"/>
  <c r="DL19" i="1" s="1"/>
  <c r="CL19" i="1"/>
  <c r="CM19" i="1"/>
  <c r="CN19" i="1"/>
  <c r="CO19" i="1"/>
  <c r="CP19" i="1"/>
  <c r="CQ19" i="1"/>
  <c r="CR19" i="1"/>
  <c r="CS19" i="1"/>
  <c r="CT19" i="1"/>
  <c r="CU19" i="1"/>
  <c r="CV19" i="1"/>
  <c r="CW19" i="1"/>
  <c r="CY19" i="1"/>
  <c r="CZ19" i="1"/>
  <c r="DA19" i="1"/>
  <c r="DB19" i="1"/>
  <c r="DC19" i="1"/>
  <c r="DD19" i="1"/>
  <c r="DE19" i="1"/>
  <c r="DF19" i="1"/>
  <c r="DG19" i="1"/>
  <c r="DI19" i="1"/>
  <c r="DJ19" i="1"/>
  <c r="DM19" i="1"/>
  <c r="DN19" i="1"/>
  <c r="DO19" i="1"/>
  <c r="DP19" i="1"/>
  <c r="DQ19" i="1"/>
  <c r="DR19" i="1"/>
  <c r="DS19" i="1"/>
  <c r="DT19" i="1"/>
  <c r="DU19" i="1"/>
  <c r="DV19" i="1"/>
  <c r="DW19" i="1"/>
  <c r="DX19" i="1"/>
  <c r="DY19" i="1"/>
  <c r="EB19" i="1"/>
  <c r="EE19" i="1"/>
  <c r="EF19" i="1"/>
  <c r="EG19" i="1"/>
  <c r="EH19" i="1"/>
  <c r="EI19" i="1"/>
  <c r="DZ19" i="1" s="1"/>
  <c r="EJ19" i="1"/>
  <c r="EK19" i="1"/>
  <c r="EL19" i="1"/>
  <c r="EM19" i="1"/>
  <c r="EN19" i="1"/>
  <c r="S20" i="1"/>
  <c r="Z20" i="1"/>
  <c r="AA20" i="1"/>
  <c r="AB20" i="1"/>
  <c r="AC20" i="1"/>
  <c r="AF20" i="1"/>
  <c r="AG20" i="1"/>
  <c r="CX20" i="1" s="1"/>
  <c r="AH20" i="1"/>
  <c r="DH20" i="1" s="1"/>
  <c r="AI20" i="1"/>
  <c r="AJ20" i="1"/>
  <c r="AK20" i="1"/>
  <c r="AL20" i="1"/>
  <c r="AU20" i="1"/>
  <c r="AV20" i="1"/>
  <c r="CG20" i="1"/>
  <c r="CH20" i="1"/>
  <c r="CI20" i="1"/>
  <c r="CJ20" i="1"/>
  <c r="CK20" i="1"/>
  <c r="CL20" i="1"/>
  <c r="CM20" i="1"/>
  <c r="CN20" i="1"/>
  <c r="CO20" i="1"/>
  <c r="CP20" i="1"/>
  <c r="CQ20" i="1"/>
  <c r="CR20" i="1"/>
  <c r="CS20" i="1"/>
  <c r="CT20" i="1"/>
  <c r="CU20" i="1"/>
  <c r="CV20" i="1"/>
  <c r="CW20" i="1"/>
  <c r="CY20" i="1"/>
  <c r="CZ20" i="1"/>
  <c r="DA20" i="1"/>
  <c r="DB20" i="1"/>
  <c r="DC20" i="1"/>
  <c r="DD20" i="1"/>
  <c r="DE20" i="1"/>
  <c r="DF20" i="1"/>
  <c r="DG20" i="1"/>
  <c r="DI20" i="1"/>
  <c r="DJ20" i="1"/>
  <c r="DM20" i="1"/>
  <c r="DN20" i="1"/>
  <c r="DO20" i="1"/>
  <c r="DP20" i="1"/>
  <c r="DQ20" i="1"/>
  <c r="DR20" i="1"/>
  <c r="DS20" i="1"/>
  <c r="DT20" i="1"/>
  <c r="DU20" i="1"/>
  <c r="DV20" i="1"/>
  <c r="DW20" i="1"/>
  <c r="DX20" i="1"/>
  <c r="DY20" i="1"/>
  <c r="EB20" i="1"/>
  <c r="EE20" i="1"/>
  <c r="EF20" i="1"/>
  <c r="EG20" i="1"/>
  <c r="EH20" i="1"/>
  <c r="EI20" i="1"/>
  <c r="DZ20" i="1" s="1"/>
  <c r="EJ20" i="1"/>
  <c r="EK20" i="1"/>
  <c r="EL20" i="1"/>
  <c r="EM20" i="1"/>
  <c r="EN20" i="1"/>
  <c r="S21" i="1"/>
  <c r="Z21" i="1"/>
  <c r="AA21" i="1"/>
  <c r="AB21" i="1"/>
  <c r="AC21" i="1"/>
  <c r="AF21" i="1"/>
  <c r="AG21" i="1"/>
  <c r="CX21" i="1" s="1"/>
  <c r="AH21" i="1"/>
  <c r="DH21" i="1" s="1"/>
  <c r="AI21" i="1"/>
  <c r="AJ21" i="1"/>
  <c r="AK21" i="1"/>
  <c r="AL21" i="1"/>
  <c r="AU21" i="1"/>
  <c r="AV21" i="1"/>
  <c r="CG21" i="1"/>
  <c r="CH21" i="1"/>
  <c r="CI21" i="1"/>
  <c r="CJ21" i="1"/>
  <c r="CK21" i="1"/>
  <c r="CL21" i="1"/>
  <c r="CM21" i="1"/>
  <c r="CN21" i="1"/>
  <c r="CO21" i="1"/>
  <c r="CP21" i="1"/>
  <c r="CQ21" i="1"/>
  <c r="CR21" i="1"/>
  <c r="CS21" i="1"/>
  <c r="CT21" i="1"/>
  <c r="CU21" i="1"/>
  <c r="CV21" i="1"/>
  <c r="CW21" i="1"/>
  <c r="CY21" i="1"/>
  <c r="CZ21" i="1"/>
  <c r="DA21" i="1"/>
  <c r="DB21" i="1"/>
  <c r="DC21" i="1"/>
  <c r="DD21" i="1"/>
  <c r="DE21" i="1"/>
  <c r="DF21" i="1"/>
  <c r="DG21" i="1"/>
  <c r="DI21" i="1"/>
  <c r="DJ21" i="1"/>
  <c r="DM21" i="1"/>
  <c r="DN21" i="1"/>
  <c r="DO21" i="1"/>
  <c r="DP21" i="1"/>
  <c r="DQ21" i="1"/>
  <c r="DR21" i="1"/>
  <c r="DS21" i="1"/>
  <c r="DT21" i="1"/>
  <c r="DU21" i="1"/>
  <c r="DV21" i="1"/>
  <c r="DW21" i="1"/>
  <c r="DX21" i="1"/>
  <c r="DY21" i="1"/>
  <c r="EB21" i="1"/>
  <c r="EE21" i="1"/>
  <c r="EF21" i="1"/>
  <c r="EG21" i="1"/>
  <c r="EH21" i="1"/>
  <c r="EI21" i="1"/>
  <c r="DZ21" i="1" s="1"/>
  <c r="EJ21" i="1"/>
  <c r="EK21" i="1"/>
  <c r="EL21" i="1"/>
  <c r="AS21" i="1" s="1"/>
  <c r="EM21" i="1"/>
  <c r="EN21" i="1"/>
  <c r="S22" i="1"/>
  <c r="Z22" i="1"/>
  <c r="AA22" i="1"/>
  <c r="AB22" i="1"/>
  <c r="AC22" i="1"/>
  <c r="AF22" i="1"/>
  <c r="AG22" i="1"/>
  <c r="CX22" i="1" s="1"/>
  <c r="AH22" i="1"/>
  <c r="DH22" i="1" s="1"/>
  <c r="AI22" i="1"/>
  <c r="AJ22" i="1"/>
  <c r="AK22" i="1"/>
  <c r="AL22" i="1"/>
  <c r="AU22" i="1"/>
  <c r="AV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Y22" i="1"/>
  <c r="CZ22" i="1"/>
  <c r="DA22" i="1"/>
  <c r="DB22" i="1"/>
  <c r="DC22" i="1"/>
  <c r="DD22" i="1"/>
  <c r="DE22" i="1"/>
  <c r="DF22" i="1"/>
  <c r="DG22" i="1"/>
  <c r="DI22" i="1"/>
  <c r="DJ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EB22" i="1"/>
  <c r="EE22" i="1"/>
  <c r="EF22" i="1"/>
  <c r="EG22" i="1"/>
  <c r="AQ22" i="1" s="1"/>
  <c r="EH22" i="1"/>
  <c r="EI22" i="1"/>
  <c r="DZ22" i="1" s="1"/>
  <c r="EJ22" i="1"/>
  <c r="EK22" i="1"/>
  <c r="EL22" i="1"/>
  <c r="EM22" i="1"/>
  <c r="EN22" i="1"/>
  <c r="S23" i="1"/>
  <c r="Z23" i="1"/>
  <c r="AA23" i="1"/>
  <c r="AB23" i="1"/>
  <c r="AC23" i="1"/>
  <c r="AF23" i="1"/>
  <c r="AG23" i="1"/>
  <c r="CX23" i="1" s="1"/>
  <c r="AH23" i="1"/>
  <c r="DH23" i="1" s="1"/>
  <c r="AI23" i="1"/>
  <c r="AJ23" i="1"/>
  <c r="AK23" i="1"/>
  <c r="AL23" i="1"/>
  <c r="AU23" i="1"/>
  <c r="AV23" i="1"/>
  <c r="CG23" i="1"/>
  <c r="CH23" i="1"/>
  <c r="CI23" i="1"/>
  <c r="CJ23" i="1"/>
  <c r="CK23" i="1"/>
  <c r="CL23" i="1"/>
  <c r="CM23" i="1"/>
  <c r="CN23" i="1"/>
  <c r="CO23" i="1"/>
  <c r="CP23" i="1"/>
  <c r="CQ23" i="1"/>
  <c r="CR23" i="1"/>
  <c r="CS23" i="1"/>
  <c r="CT23" i="1"/>
  <c r="CU23" i="1"/>
  <c r="CV23" i="1"/>
  <c r="CW23" i="1"/>
  <c r="CY23" i="1"/>
  <c r="CZ23" i="1"/>
  <c r="DA23" i="1"/>
  <c r="DB23" i="1"/>
  <c r="DC23" i="1"/>
  <c r="DD23" i="1"/>
  <c r="DE23" i="1"/>
  <c r="DF23" i="1"/>
  <c r="DG23" i="1"/>
  <c r="DI23" i="1"/>
  <c r="DJ23" i="1"/>
  <c r="DM23" i="1"/>
  <c r="DN23" i="1"/>
  <c r="DO23" i="1"/>
  <c r="DP23" i="1"/>
  <c r="DQ23" i="1"/>
  <c r="DR23" i="1"/>
  <c r="DS23" i="1"/>
  <c r="DT23" i="1"/>
  <c r="DU23" i="1"/>
  <c r="DV23" i="1"/>
  <c r="DW23" i="1"/>
  <c r="DX23" i="1"/>
  <c r="DY23" i="1"/>
  <c r="EB23" i="1"/>
  <c r="EE23" i="1"/>
  <c r="EF23" i="1"/>
  <c r="EG23" i="1"/>
  <c r="EH23" i="1"/>
  <c r="EI23" i="1"/>
  <c r="DZ23" i="1" s="1"/>
  <c r="EJ23" i="1"/>
  <c r="EK23" i="1"/>
  <c r="EL23" i="1"/>
  <c r="EM23" i="1"/>
  <c r="EN23" i="1"/>
  <c r="S24" i="1"/>
  <c r="Z24" i="1"/>
  <c r="AA24" i="1"/>
  <c r="AB24" i="1"/>
  <c r="AC24" i="1"/>
  <c r="AF24" i="1"/>
  <c r="AG24" i="1"/>
  <c r="CX24" i="1" s="1"/>
  <c r="AH24" i="1"/>
  <c r="DH24" i="1" s="1"/>
  <c r="AI24" i="1"/>
  <c r="AJ24" i="1"/>
  <c r="AK24" i="1"/>
  <c r="AL24" i="1"/>
  <c r="AU24" i="1"/>
  <c r="AV24" i="1"/>
  <c r="CG24" i="1"/>
  <c r="CH24" i="1"/>
  <c r="CI24" i="1"/>
  <c r="CJ24" i="1"/>
  <c r="CK24" i="1"/>
  <c r="CL24" i="1"/>
  <c r="CM24" i="1"/>
  <c r="CN24" i="1"/>
  <c r="CO24" i="1"/>
  <c r="CP24" i="1"/>
  <c r="CQ24" i="1"/>
  <c r="CR24" i="1"/>
  <c r="CS24" i="1"/>
  <c r="CT24" i="1"/>
  <c r="CU24" i="1"/>
  <c r="CV24" i="1"/>
  <c r="CW24" i="1"/>
  <c r="CY24" i="1"/>
  <c r="CZ24" i="1"/>
  <c r="DA24" i="1"/>
  <c r="DB24" i="1"/>
  <c r="DC24" i="1"/>
  <c r="DD24" i="1"/>
  <c r="DE24" i="1"/>
  <c r="DF24" i="1"/>
  <c r="DG24" i="1"/>
  <c r="DI24" i="1"/>
  <c r="DJ24" i="1"/>
  <c r="DM24" i="1"/>
  <c r="DN24" i="1"/>
  <c r="DO24" i="1"/>
  <c r="DP24" i="1"/>
  <c r="DQ24" i="1"/>
  <c r="DR24" i="1"/>
  <c r="DS24" i="1"/>
  <c r="DT24" i="1"/>
  <c r="DU24" i="1"/>
  <c r="DV24" i="1"/>
  <c r="DW24" i="1"/>
  <c r="DX24" i="1"/>
  <c r="DY24" i="1"/>
  <c r="EB24" i="1"/>
  <c r="EE24" i="1"/>
  <c r="EF24" i="1"/>
  <c r="EG24" i="1"/>
  <c r="EH24" i="1"/>
  <c r="EI24" i="1"/>
  <c r="DZ24" i="1" s="1"/>
  <c r="EJ24" i="1"/>
  <c r="EK24" i="1"/>
  <c r="EL24" i="1"/>
  <c r="EM24" i="1"/>
  <c r="EN24" i="1"/>
  <c r="S25" i="1"/>
  <c r="Z25" i="1"/>
  <c r="AA25" i="1"/>
  <c r="AB25" i="1"/>
  <c r="AC25" i="1"/>
  <c r="AF25" i="1"/>
  <c r="AG25" i="1"/>
  <c r="CX25" i="1" s="1"/>
  <c r="AH25" i="1"/>
  <c r="DH25" i="1" s="1"/>
  <c r="AI25" i="1"/>
  <c r="AJ25" i="1"/>
  <c r="AK25" i="1"/>
  <c r="AL25" i="1"/>
  <c r="AU25" i="1"/>
  <c r="AV25" i="1"/>
  <c r="CG25" i="1"/>
  <c r="CH25" i="1"/>
  <c r="CI25" i="1"/>
  <c r="CJ25" i="1"/>
  <c r="CK25" i="1"/>
  <c r="CL25" i="1"/>
  <c r="CM25" i="1"/>
  <c r="CN25" i="1"/>
  <c r="CO25" i="1"/>
  <c r="CP25" i="1"/>
  <c r="CQ25" i="1"/>
  <c r="CR25" i="1"/>
  <c r="CS25" i="1"/>
  <c r="CT25" i="1"/>
  <c r="CU25" i="1"/>
  <c r="CV25" i="1"/>
  <c r="CW25" i="1"/>
  <c r="CY25" i="1"/>
  <c r="CZ25" i="1"/>
  <c r="DA25" i="1"/>
  <c r="DB25" i="1"/>
  <c r="DC25" i="1"/>
  <c r="DD25" i="1"/>
  <c r="DE25" i="1"/>
  <c r="DF25" i="1"/>
  <c r="DG25" i="1"/>
  <c r="DI25" i="1"/>
  <c r="DJ25" i="1"/>
  <c r="DM25" i="1"/>
  <c r="DN25" i="1"/>
  <c r="DO25" i="1"/>
  <c r="DP25" i="1"/>
  <c r="DQ25" i="1"/>
  <c r="DR25" i="1"/>
  <c r="DS25" i="1"/>
  <c r="DT25" i="1"/>
  <c r="DU25" i="1"/>
  <c r="DV25" i="1"/>
  <c r="DW25" i="1"/>
  <c r="DX25" i="1"/>
  <c r="DY25" i="1"/>
  <c r="EB25" i="1"/>
  <c r="EE25" i="1"/>
  <c r="EF25" i="1"/>
  <c r="EG25" i="1"/>
  <c r="EH25" i="1"/>
  <c r="EI25" i="1"/>
  <c r="DZ25" i="1" s="1"/>
  <c r="EJ25" i="1"/>
  <c r="EK25" i="1"/>
  <c r="EL25" i="1"/>
  <c r="EM25" i="1"/>
  <c r="EN25" i="1"/>
  <c r="S26" i="1"/>
  <c r="Z26" i="1"/>
  <c r="AA26" i="1"/>
  <c r="AB26" i="1"/>
  <c r="AC26" i="1"/>
  <c r="AF26" i="1"/>
  <c r="AG26" i="1"/>
  <c r="CX26" i="1" s="1"/>
  <c r="AH26" i="1"/>
  <c r="DH26" i="1" s="1"/>
  <c r="AI26" i="1"/>
  <c r="AJ26" i="1"/>
  <c r="AK26" i="1"/>
  <c r="AL26" i="1"/>
  <c r="AU26" i="1"/>
  <c r="AV26" i="1"/>
  <c r="CG26" i="1"/>
  <c r="CH26" i="1"/>
  <c r="CI26" i="1"/>
  <c r="CJ26" i="1"/>
  <c r="CK26" i="1"/>
  <c r="CL26" i="1"/>
  <c r="CM26" i="1"/>
  <c r="CN26" i="1"/>
  <c r="CO26" i="1"/>
  <c r="CP26" i="1"/>
  <c r="CQ26" i="1"/>
  <c r="CR26" i="1"/>
  <c r="CS26" i="1"/>
  <c r="CT26" i="1"/>
  <c r="CU26" i="1"/>
  <c r="CV26" i="1"/>
  <c r="CW26" i="1"/>
  <c r="CY26" i="1"/>
  <c r="CZ26" i="1"/>
  <c r="DA26" i="1"/>
  <c r="DB26" i="1"/>
  <c r="DC26" i="1"/>
  <c r="DD26" i="1"/>
  <c r="DE26" i="1"/>
  <c r="DF26" i="1"/>
  <c r="DG26" i="1"/>
  <c r="DI26" i="1"/>
  <c r="DJ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EB26" i="1"/>
  <c r="EE26" i="1"/>
  <c r="EF26" i="1"/>
  <c r="EG26" i="1"/>
  <c r="EH26" i="1"/>
  <c r="EI26" i="1"/>
  <c r="DZ26" i="1" s="1"/>
  <c r="EJ26" i="1"/>
  <c r="EK26" i="1"/>
  <c r="EL26" i="1"/>
  <c r="EM26" i="1"/>
  <c r="EN26" i="1"/>
  <c r="S27" i="1"/>
  <c r="Z27" i="1"/>
  <c r="AA27" i="1"/>
  <c r="AB27" i="1"/>
  <c r="AC27" i="1"/>
  <c r="AF27" i="1"/>
  <c r="AG27" i="1"/>
  <c r="CX27" i="1" s="1"/>
  <c r="AH27" i="1"/>
  <c r="DH27" i="1" s="1"/>
  <c r="AI27" i="1"/>
  <c r="AJ27" i="1"/>
  <c r="AK27" i="1"/>
  <c r="AL27" i="1"/>
  <c r="AU27" i="1"/>
  <c r="AV27" i="1"/>
  <c r="CG27" i="1"/>
  <c r="CH27" i="1"/>
  <c r="CI27" i="1"/>
  <c r="CJ27" i="1"/>
  <c r="CK27" i="1"/>
  <c r="CL27" i="1"/>
  <c r="CM27" i="1"/>
  <c r="CN27" i="1"/>
  <c r="CO27" i="1"/>
  <c r="CP27" i="1"/>
  <c r="CQ27" i="1"/>
  <c r="CR27" i="1"/>
  <c r="CS27" i="1"/>
  <c r="CT27" i="1"/>
  <c r="CU27" i="1"/>
  <c r="CV27" i="1"/>
  <c r="CW27" i="1"/>
  <c r="CY27" i="1"/>
  <c r="CZ27" i="1"/>
  <c r="DA27" i="1"/>
  <c r="DB27" i="1"/>
  <c r="DC27" i="1"/>
  <c r="DD27" i="1"/>
  <c r="DE27" i="1"/>
  <c r="DF27" i="1"/>
  <c r="DG27" i="1"/>
  <c r="DI27" i="1"/>
  <c r="DJ27" i="1"/>
  <c r="DM27" i="1"/>
  <c r="DN27" i="1"/>
  <c r="DO27" i="1"/>
  <c r="DP27" i="1"/>
  <c r="DQ27" i="1"/>
  <c r="DR27" i="1"/>
  <c r="DS27" i="1"/>
  <c r="DT27" i="1"/>
  <c r="DU27" i="1"/>
  <c r="DV27" i="1"/>
  <c r="DW27" i="1"/>
  <c r="DX27" i="1"/>
  <c r="DY27" i="1"/>
  <c r="EB27" i="1"/>
  <c r="EE27" i="1"/>
  <c r="AS27" i="1" s="1"/>
  <c r="EF27" i="1"/>
  <c r="EG27" i="1"/>
  <c r="EH27" i="1"/>
  <c r="EI27" i="1"/>
  <c r="DZ27" i="1" s="1"/>
  <c r="EJ27" i="1"/>
  <c r="EK27" i="1"/>
  <c r="EL27" i="1"/>
  <c r="EM27" i="1"/>
  <c r="EN27" i="1"/>
  <c r="S28" i="1"/>
  <c r="Z28" i="1"/>
  <c r="AA28" i="1"/>
  <c r="AB28" i="1"/>
  <c r="AC28" i="1"/>
  <c r="AF28" i="1"/>
  <c r="AG28" i="1"/>
  <c r="CX28" i="1" s="1"/>
  <c r="AH28" i="1"/>
  <c r="DH28" i="1" s="1"/>
  <c r="AI28" i="1"/>
  <c r="AJ28" i="1"/>
  <c r="AK28" i="1"/>
  <c r="AL28" i="1"/>
  <c r="AU28" i="1"/>
  <c r="AV28" i="1"/>
  <c r="CG28" i="1"/>
  <c r="CH28" i="1"/>
  <c r="CI28" i="1"/>
  <c r="CJ28" i="1"/>
  <c r="CK28" i="1"/>
  <c r="CL28" i="1"/>
  <c r="CM28" i="1"/>
  <c r="CN28" i="1"/>
  <c r="CO28" i="1"/>
  <c r="CP28" i="1"/>
  <c r="CQ28" i="1"/>
  <c r="CR28" i="1"/>
  <c r="CS28" i="1"/>
  <c r="CT28" i="1"/>
  <c r="CU28" i="1"/>
  <c r="CV28" i="1"/>
  <c r="CW28" i="1"/>
  <c r="CY28" i="1"/>
  <c r="CZ28" i="1"/>
  <c r="DA28" i="1"/>
  <c r="DB28" i="1"/>
  <c r="DC28" i="1"/>
  <c r="DD28" i="1"/>
  <c r="DE28" i="1"/>
  <c r="DF28" i="1"/>
  <c r="DG28" i="1"/>
  <c r="DI28" i="1"/>
  <c r="DJ28" i="1"/>
  <c r="DM28" i="1"/>
  <c r="DN28" i="1"/>
  <c r="DO28" i="1"/>
  <c r="DP28" i="1"/>
  <c r="DQ28" i="1"/>
  <c r="DR28" i="1"/>
  <c r="DS28" i="1"/>
  <c r="DT28" i="1"/>
  <c r="DU28" i="1"/>
  <c r="DV28" i="1"/>
  <c r="DW28" i="1"/>
  <c r="DX28" i="1"/>
  <c r="DY28" i="1"/>
  <c r="EB28" i="1"/>
  <c r="EE28" i="1"/>
  <c r="EF28" i="1"/>
  <c r="EG28" i="1"/>
  <c r="EH28" i="1"/>
  <c r="EI28" i="1"/>
  <c r="DZ28" i="1" s="1"/>
  <c r="EJ28" i="1"/>
  <c r="EK28" i="1"/>
  <c r="EL28" i="1"/>
  <c r="EM28" i="1"/>
  <c r="EN28" i="1"/>
  <c r="S29" i="1"/>
  <c r="Z29" i="1"/>
  <c r="AA29" i="1"/>
  <c r="AB29" i="1"/>
  <c r="AC29" i="1"/>
  <c r="AF29" i="1"/>
  <c r="AG29" i="1"/>
  <c r="CX29" i="1" s="1"/>
  <c r="AH29" i="1"/>
  <c r="DH29" i="1" s="1"/>
  <c r="AI29" i="1"/>
  <c r="AJ29" i="1"/>
  <c r="AK29" i="1"/>
  <c r="AL29" i="1"/>
  <c r="AU29" i="1"/>
  <c r="AV29" i="1"/>
  <c r="CG29" i="1"/>
  <c r="CH29" i="1"/>
  <c r="CI29" i="1"/>
  <c r="CJ29" i="1"/>
  <c r="CK29" i="1"/>
  <c r="CL29" i="1"/>
  <c r="CM29" i="1"/>
  <c r="CN29" i="1"/>
  <c r="CO29" i="1"/>
  <c r="CP29" i="1"/>
  <c r="CQ29" i="1"/>
  <c r="CR29" i="1"/>
  <c r="CS29" i="1"/>
  <c r="CT29" i="1"/>
  <c r="CU29" i="1"/>
  <c r="CV29" i="1"/>
  <c r="CW29" i="1"/>
  <c r="CY29" i="1"/>
  <c r="CZ29" i="1"/>
  <c r="DA29" i="1"/>
  <c r="DB29" i="1"/>
  <c r="DC29" i="1"/>
  <c r="DD29" i="1"/>
  <c r="DE29" i="1"/>
  <c r="DF29" i="1"/>
  <c r="DG29" i="1"/>
  <c r="DI29" i="1"/>
  <c r="DJ29" i="1"/>
  <c r="DM29" i="1"/>
  <c r="DN29" i="1"/>
  <c r="DO29" i="1"/>
  <c r="DP29" i="1"/>
  <c r="DQ29" i="1"/>
  <c r="DR29" i="1"/>
  <c r="DS29" i="1"/>
  <c r="DT29" i="1"/>
  <c r="DU29" i="1"/>
  <c r="DV29" i="1"/>
  <c r="DW29" i="1"/>
  <c r="DX29" i="1"/>
  <c r="DY29" i="1"/>
  <c r="EB29" i="1"/>
  <c r="EE29" i="1"/>
  <c r="EF29" i="1"/>
  <c r="EG29" i="1"/>
  <c r="EH29" i="1"/>
  <c r="EI29" i="1"/>
  <c r="DZ29" i="1" s="1"/>
  <c r="EJ29" i="1"/>
  <c r="EK29" i="1"/>
  <c r="EL29" i="1"/>
  <c r="EM29" i="1"/>
  <c r="EN29" i="1"/>
  <c r="S30" i="1"/>
  <c r="Z30" i="1"/>
  <c r="AA30" i="1"/>
  <c r="AB30" i="1"/>
  <c r="AC30" i="1"/>
  <c r="AF30" i="1"/>
  <c r="AG30" i="1"/>
  <c r="CX30" i="1" s="1"/>
  <c r="AH30" i="1"/>
  <c r="DH30" i="1" s="1"/>
  <c r="AI30" i="1"/>
  <c r="AJ30" i="1"/>
  <c r="AK30" i="1"/>
  <c r="AL30" i="1"/>
  <c r="AU30" i="1"/>
  <c r="AV30" i="1"/>
  <c r="CG30" i="1"/>
  <c r="CH30" i="1"/>
  <c r="CI30" i="1"/>
  <c r="CJ30" i="1"/>
  <c r="CK30" i="1"/>
  <c r="CL30" i="1"/>
  <c r="CM30" i="1"/>
  <c r="CN30" i="1"/>
  <c r="CO30" i="1"/>
  <c r="CP30" i="1"/>
  <c r="CQ30" i="1"/>
  <c r="CR30" i="1"/>
  <c r="CS30" i="1"/>
  <c r="CT30" i="1"/>
  <c r="CU30" i="1"/>
  <c r="CV30" i="1"/>
  <c r="CW30" i="1"/>
  <c r="CY30" i="1"/>
  <c r="CZ30" i="1"/>
  <c r="DA30" i="1"/>
  <c r="DB30" i="1"/>
  <c r="DC30" i="1"/>
  <c r="DD30" i="1"/>
  <c r="DE30" i="1"/>
  <c r="DF30" i="1"/>
  <c r="DG30" i="1"/>
  <c r="DI30" i="1"/>
  <c r="DJ30" i="1"/>
  <c r="DM30" i="1"/>
  <c r="DN30" i="1"/>
  <c r="DO30" i="1"/>
  <c r="DP30" i="1"/>
  <c r="DQ30" i="1"/>
  <c r="DR30" i="1"/>
  <c r="DS30" i="1"/>
  <c r="DT30" i="1"/>
  <c r="DU30" i="1"/>
  <c r="DV30" i="1"/>
  <c r="DW30" i="1"/>
  <c r="DX30" i="1"/>
  <c r="DY30" i="1"/>
  <c r="EB30" i="1"/>
  <c r="EE30" i="1"/>
  <c r="EF30" i="1"/>
  <c r="EG30" i="1"/>
  <c r="AP30" i="1" s="1"/>
  <c r="EH30" i="1"/>
  <c r="EI30" i="1"/>
  <c r="DZ30" i="1" s="1"/>
  <c r="EJ30" i="1"/>
  <c r="EK30" i="1"/>
  <c r="EL30" i="1"/>
  <c r="EM30" i="1"/>
  <c r="EN30" i="1"/>
  <c r="S31" i="1"/>
  <c r="Z31" i="1"/>
  <c r="AA31" i="1"/>
  <c r="AB31" i="1"/>
  <c r="AC31" i="1"/>
  <c r="AF31" i="1"/>
  <c r="AG31" i="1"/>
  <c r="CX31" i="1" s="1"/>
  <c r="AH31" i="1"/>
  <c r="DH31" i="1" s="1"/>
  <c r="AI31" i="1"/>
  <c r="AJ31" i="1"/>
  <c r="AK31" i="1"/>
  <c r="AL31" i="1"/>
  <c r="AU31" i="1"/>
  <c r="AV31" i="1"/>
  <c r="CG31" i="1"/>
  <c r="DK31" i="1" s="1"/>
  <c r="CH31" i="1"/>
  <c r="CI31" i="1"/>
  <c r="CJ31" i="1"/>
  <c r="CK31" i="1"/>
  <c r="CL31" i="1"/>
  <c r="CM31" i="1"/>
  <c r="CN31" i="1"/>
  <c r="CO31" i="1"/>
  <c r="CP31" i="1"/>
  <c r="CQ31" i="1"/>
  <c r="CR31" i="1"/>
  <c r="CS31" i="1"/>
  <c r="CT31" i="1"/>
  <c r="CU31" i="1"/>
  <c r="CV31" i="1"/>
  <c r="CW31" i="1"/>
  <c r="CY31" i="1"/>
  <c r="CZ31" i="1"/>
  <c r="DA31" i="1"/>
  <c r="DB31" i="1"/>
  <c r="DC31" i="1"/>
  <c r="DD31" i="1"/>
  <c r="DE31" i="1"/>
  <c r="DF31" i="1"/>
  <c r="DG31" i="1"/>
  <c r="DI31" i="1"/>
  <c r="DJ31" i="1"/>
  <c r="DM31" i="1"/>
  <c r="DN31" i="1"/>
  <c r="DO31" i="1"/>
  <c r="DP31" i="1"/>
  <c r="DQ31" i="1"/>
  <c r="DR31" i="1"/>
  <c r="DS31" i="1"/>
  <c r="DT31" i="1"/>
  <c r="DU31" i="1"/>
  <c r="DV31" i="1"/>
  <c r="DW31" i="1"/>
  <c r="DX31" i="1"/>
  <c r="DY31" i="1"/>
  <c r="EB31" i="1"/>
  <c r="EE31" i="1"/>
  <c r="EF31" i="1"/>
  <c r="EG31" i="1"/>
  <c r="EH31" i="1"/>
  <c r="EI31" i="1"/>
  <c r="DZ31" i="1" s="1"/>
  <c r="EJ31" i="1"/>
  <c r="EK31" i="1"/>
  <c r="EL31" i="1"/>
  <c r="EM31" i="1"/>
  <c r="EN31" i="1"/>
  <c r="S32" i="1"/>
  <c r="Z32" i="1"/>
  <c r="AA32" i="1"/>
  <c r="AB32" i="1"/>
  <c r="AC32" i="1"/>
  <c r="AF32" i="1"/>
  <c r="AG32" i="1"/>
  <c r="CX32" i="1" s="1"/>
  <c r="AH32" i="1"/>
  <c r="DH32" i="1" s="1"/>
  <c r="AI32" i="1"/>
  <c r="AJ32" i="1"/>
  <c r="AK32" i="1"/>
  <c r="AL32" i="1"/>
  <c r="AU32" i="1"/>
  <c r="AV32" i="1"/>
  <c r="CG32" i="1"/>
  <c r="CH32" i="1"/>
  <c r="CI32" i="1"/>
  <c r="CJ32" i="1"/>
  <c r="CK32" i="1"/>
  <c r="CL32" i="1"/>
  <c r="CM32" i="1"/>
  <c r="CN32" i="1"/>
  <c r="CO32" i="1"/>
  <c r="CP32" i="1"/>
  <c r="CQ32" i="1"/>
  <c r="CR32" i="1"/>
  <c r="CS32" i="1"/>
  <c r="CT32" i="1"/>
  <c r="CU32" i="1"/>
  <c r="CV32" i="1"/>
  <c r="CW32" i="1"/>
  <c r="CY32" i="1"/>
  <c r="CZ32" i="1"/>
  <c r="DA32" i="1"/>
  <c r="DB32" i="1"/>
  <c r="DC32" i="1"/>
  <c r="DD32" i="1"/>
  <c r="DE32" i="1"/>
  <c r="DF32" i="1"/>
  <c r="DG32" i="1"/>
  <c r="DI32" i="1"/>
  <c r="DJ32" i="1"/>
  <c r="DM32" i="1"/>
  <c r="DN32" i="1"/>
  <c r="DO32" i="1"/>
  <c r="DP32" i="1"/>
  <c r="DQ32" i="1"/>
  <c r="DR32" i="1"/>
  <c r="DS32" i="1"/>
  <c r="DT32" i="1"/>
  <c r="DU32" i="1"/>
  <c r="DV32" i="1"/>
  <c r="DW32" i="1"/>
  <c r="DX32" i="1"/>
  <c r="DY32" i="1"/>
  <c r="EB32" i="1"/>
  <c r="EE32" i="1"/>
  <c r="EF32" i="1"/>
  <c r="EG32" i="1"/>
  <c r="EH32" i="1"/>
  <c r="EI32" i="1"/>
  <c r="DZ32" i="1" s="1"/>
  <c r="EJ32" i="1"/>
  <c r="EK32" i="1"/>
  <c r="AP32" i="1" s="1"/>
  <c r="EL32" i="1"/>
  <c r="EM32" i="1"/>
  <c r="EN32" i="1"/>
  <c r="S33" i="1"/>
  <c r="Z33" i="1"/>
  <c r="AA33" i="1"/>
  <c r="AB33" i="1"/>
  <c r="AC33" i="1"/>
  <c r="AF33" i="1"/>
  <c r="AG33" i="1"/>
  <c r="CX33" i="1" s="1"/>
  <c r="AH33" i="1"/>
  <c r="DH33" i="1" s="1"/>
  <c r="AI33" i="1"/>
  <c r="AJ33" i="1"/>
  <c r="AK33" i="1"/>
  <c r="AL33" i="1"/>
  <c r="AU33" i="1"/>
  <c r="AV33" i="1"/>
  <c r="CG33" i="1"/>
  <c r="CH33" i="1"/>
  <c r="CI33" i="1"/>
  <c r="CJ33" i="1"/>
  <c r="CK33" i="1"/>
  <c r="CL33" i="1"/>
  <c r="CM33" i="1"/>
  <c r="CN33" i="1"/>
  <c r="CO33" i="1"/>
  <c r="CP33" i="1"/>
  <c r="CQ33" i="1"/>
  <c r="CR33" i="1"/>
  <c r="CS33" i="1"/>
  <c r="CT33" i="1"/>
  <c r="CU33" i="1"/>
  <c r="CV33" i="1"/>
  <c r="CW33" i="1"/>
  <c r="CY33" i="1"/>
  <c r="CZ33" i="1"/>
  <c r="DA33" i="1"/>
  <c r="DB33" i="1"/>
  <c r="DC33" i="1"/>
  <c r="DD33" i="1"/>
  <c r="DE33" i="1"/>
  <c r="DF33" i="1"/>
  <c r="DG33" i="1"/>
  <c r="DI33" i="1"/>
  <c r="DJ33" i="1"/>
  <c r="DM33" i="1"/>
  <c r="DN33" i="1"/>
  <c r="DO33" i="1"/>
  <c r="DP33" i="1"/>
  <c r="DQ33" i="1"/>
  <c r="DR33" i="1"/>
  <c r="DS33" i="1"/>
  <c r="DT33" i="1"/>
  <c r="DU33" i="1"/>
  <c r="DV33" i="1"/>
  <c r="DW33" i="1"/>
  <c r="DX33" i="1"/>
  <c r="DY33" i="1"/>
  <c r="EB33" i="1"/>
  <c r="EE33" i="1"/>
  <c r="EF33" i="1"/>
  <c r="EG33" i="1"/>
  <c r="EH33" i="1"/>
  <c r="EI33" i="1"/>
  <c r="DZ33" i="1" s="1"/>
  <c r="EJ33" i="1"/>
  <c r="EK33" i="1"/>
  <c r="EL33" i="1"/>
  <c r="EM33" i="1"/>
  <c r="EN33" i="1"/>
  <c r="S34" i="1"/>
  <c r="AF34" i="1"/>
  <c r="AG34" i="1"/>
  <c r="AH34" i="1"/>
  <c r="AI34" i="1"/>
  <c r="AJ34" i="1"/>
  <c r="AK34" i="1"/>
  <c r="AL34" i="1"/>
  <c r="AU34" i="1"/>
  <c r="AV34" i="1"/>
  <c r="EE34" i="1"/>
  <c r="EF34" i="1"/>
  <c r="EG34" i="1"/>
  <c r="EH34" i="1"/>
  <c r="EI34" i="1"/>
  <c r="EJ34" i="1"/>
  <c r="EK34" i="1"/>
  <c r="EL34" i="1"/>
  <c r="EM34" i="1"/>
  <c r="EN34" i="1"/>
  <c r="S35" i="1"/>
  <c r="AF35" i="1"/>
  <c r="AG35" i="1"/>
  <c r="AH35" i="1"/>
  <c r="AI35" i="1"/>
  <c r="AJ35" i="1"/>
  <c r="AK35" i="1"/>
  <c r="AL35" i="1"/>
  <c r="AU35" i="1"/>
  <c r="AV35" i="1"/>
  <c r="EE35" i="1"/>
  <c r="EF35" i="1"/>
  <c r="EG35" i="1"/>
  <c r="EH35" i="1"/>
  <c r="EI35" i="1"/>
  <c r="EJ35" i="1"/>
  <c r="EK35" i="1"/>
  <c r="EL35" i="1"/>
  <c r="EM35" i="1"/>
  <c r="EN35" i="1"/>
  <c r="S36" i="1"/>
  <c r="AF36" i="1"/>
  <c r="AG36" i="1"/>
  <c r="CX36" i="1" s="1"/>
  <c r="AH36" i="1"/>
  <c r="DH36" i="1" s="1"/>
  <c r="AI36" i="1"/>
  <c r="AJ36" i="1"/>
  <c r="AK36" i="1"/>
  <c r="AL36" i="1"/>
  <c r="AU36" i="1"/>
  <c r="AV36" i="1"/>
  <c r="CG36" i="1"/>
  <c r="CH36" i="1"/>
  <c r="CJ36" i="1"/>
  <c r="CU36" i="1"/>
  <c r="CV36" i="1"/>
  <c r="CW36" i="1"/>
  <c r="DB36" i="1"/>
  <c r="DG36" i="1"/>
  <c r="DQ36" i="1"/>
  <c r="DT36" i="1"/>
  <c r="DU36" i="1"/>
  <c r="DW36" i="1"/>
  <c r="DX36" i="1"/>
  <c r="EE36" i="1"/>
  <c r="EF36" i="1"/>
  <c r="EG36" i="1"/>
  <c r="EH36" i="1"/>
  <c r="EI36" i="1"/>
  <c r="DZ36" i="1" s="1"/>
  <c r="EJ36" i="1"/>
  <c r="EK36" i="1"/>
  <c r="EL36" i="1"/>
  <c r="EM36" i="1"/>
  <c r="EN36" i="1"/>
  <c r="S37" i="1"/>
  <c r="AF37" i="1"/>
  <c r="AG37" i="1"/>
  <c r="CX37" i="1" s="1"/>
  <c r="AH37" i="1"/>
  <c r="DH37" i="1" s="1"/>
  <c r="AI37" i="1"/>
  <c r="AJ37" i="1"/>
  <c r="AK37" i="1"/>
  <c r="AL37" i="1"/>
  <c r="AU37" i="1"/>
  <c r="AV37" i="1"/>
  <c r="CG37" i="1"/>
  <c r="CH37" i="1"/>
  <c r="CJ37" i="1"/>
  <c r="CU37" i="1"/>
  <c r="CV37" i="1"/>
  <c r="CW37" i="1"/>
  <c r="DB37" i="1"/>
  <c r="DG37" i="1"/>
  <c r="DQ37" i="1"/>
  <c r="DT37" i="1"/>
  <c r="DU37" i="1"/>
  <c r="DW37" i="1"/>
  <c r="DX37" i="1"/>
  <c r="EE37" i="1"/>
  <c r="EF37" i="1"/>
  <c r="EG37" i="1"/>
  <c r="EH37" i="1"/>
  <c r="EI37" i="1"/>
  <c r="DZ37" i="1" s="1"/>
  <c r="EJ37" i="1"/>
  <c r="EK37" i="1"/>
  <c r="EL37" i="1"/>
  <c r="EM37" i="1"/>
  <c r="EN37" i="1"/>
  <c r="S38" i="1"/>
  <c r="AF38" i="1"/>
  <c r="AG38" i="1"/>
  <c r="AH38" i="1"/>
  <c r="DH38" i="1" s="1"/>
  <c r="AI38" i="1"/>
  <c r="AJ38" i="1"/>
  <c r="AK38" i="1"/>
  <c r="AL38" i="1"/>
  <c r="AU38" i="1"/>
  <c r="AV38" i="1"/>
  <c r="CG38" i="1"/>
  <c r="CH38" i="1"/>
  <c r="CJ38" i="1"/>
  <c r="CV38" i="1"/>
  <c r="DQ38" i="1"/>
  <c r="DT38" i="1"/>
  <c r="DU38" i="1"/>
  <c r="EE38" i="1"/>
  <c r="EF38" i="1"/>
  <c r="EG38" i="1"/>
  <c r="EH38" i="1"/>
  <c r="EI38" i="1"/>
  <c r="DZ38" i="1" s="1"/>
  <c r="EJ38" i="1"/>
  <c r="EK38" i="1"/>
  <c r="EL38" i="1"/>
  <c r="EM38" i="1"/>
  <c r="EN38" i="1"/>
  <c r="S39" i="1"/>
  <c r="AF39" i="1"/>
  <c r="AG39" i="1"/>
  <c r="AH39" i="1"/>
  <c r="DH39" i="1" s="1"/>
  <c r="AI39" i="1"/>
  <c r="AJ39" i="1"/>
  <c r="AK39" i="1"/>
  <c r="AL39" i="1"/>
  <c r="AU39" i="1"/>
  <c r="AV39" i="1"/>
  <c r="CG39" i="1"/>
  <c r="CH39" i="1"/>
  <c r="CJ39" i="1"/>
  <c r="CV39" i="1"/>
  <c r="DQ39" i="1"/>
  <c r="DT39" i="1"/>
  <c r="DU39" i="1"/>
  <c r="EE39" i="1"/>
  <c r="EF39" i="1"/>
  <c r="EG39" i="1"/>
  <c r="EH39" i="1"/>
  <c r="EI39" i="1"/>
  <c r="DZ39" i="1" s="1"/>
  <c r="EJ39" i="1"/>
  <c r="EK39" i="1"/>
  <c r="EL39" i="1"/>
  <c r="EM39" i="1"/>
  <c r="EN39" i="1"/>
  <c r="J40" i="1"/>
  <c r="EF40" i="1" s="1"/>
  <c r="AG40" i="1"/>
  <c r="AH40" i="1"/>
  <c r="AI40" i="1"/>
  <c r="AJ40" i="1"/>
  <c r="AK40" i="1"/>
  <c r="AL40" i="1"/>
  <c r="AU40" i="1"/>
  <c r="AV40" i="1"/>
  <c r="J41" i="1"/>
  <c r="EI41" i="1" s="1"/>
  <c r="AG41" i="1"/>
  <c r="AH41" i="1"/>
  <c r="AI41" i="1"/>
  <c r="AJ41" i="1"/>
  <c r="AK41" i="1"/>
  <c r="AL41" i="1"/>
  <c r="AU41" i="1"/>
  <c r="AV41" i="1"/>
  <c r="S42" i="1"/>
  <c r="AF42" i="1"/>
  <c r="AG42" i="1"/>
  <c r="AH42" i="1"/>
  <c r="AI42" i="1"/>
  <c r="AJ42" i="1"/>
  <c r="AK42" i="1"/>
  <c r="AL42" i="1"/>
  <c r="AU42" i="1"/>
  <c r="AV42" i="1"/>
  <c r="CX42" i="1"/>
  <c r="DB42" i="1"/>
  <c r="DT42" i="1"/>
  <c r="DX42" i="1"/>
  <c r="EE42" i="1"/>
  <c r="EF42" i="1"/>
  <c r="EG42" i="1"/>
  <c r="EH42" i="1"/>
  <c r="EI42" i="1"/>
  <c r="DZ42" i="1" s="1"/>
  <c r="EJ42" i="1"/>
  <c r="EK42" i="1"/>
  <c r="EL42" i="1"/>
  <c r="EM42" i="1"/>
  <c r="EN42" i="1"/>
  <c r="S43" i="1"/>
  <c r="AF43" i="1"/>
  <c r="AG43" i="1"/>
  <c r="AH43" i="1"/>
  <c r="AI43" i="1"/>
  <c r="AJ43" i="1"/>
  <c r="AK43" i="1"/>
  <c r="AL43" i="1"/>
  <c r="AU43" i="1"/>
  <c r="AV43" i="1"/>
  <c r="CX43" i="1"/>
  <c r="DB43" i="1"/>
  <c r="DT43" i="1"/>
  <c r="DX43" i="1"/>
  <c r="EE43" i="1"/>
  <c r="EF43" i="1"/>
  <c r="EG43" i="1"/>
  <c r="EH43" i="1"/>
  <c r="EI43" i="1"/>
  <c r="DZ43" i="1" s="1"/>
  <c r="EJ43" i="1"/>
  <c r="EK43" i="1"/>
  <c r="EL43" i="1"/>
  <c r="EM43" i="1"/>
  <c r="EN43" i="1"/>
  <c r="S44" i="1"/>
  <c r="AF44" i="1"/>
  <c r="AG44" i="1"/>
  <c r="AH44" i="1"/>
  <c r="AI44" i="1"/>
  <c r="AJ44" i="1"/>
  <c r="AK44" i="1"/>
  <c r="AL44" i="1"/>
  <c r="AU44" i="1"/>
  <c r="AV44" i="1"/>
  <c r="CX44" i="1"/>
  <c r="DB44" i="1"/>
  <c r="DT44" i="1"/>
  <c r="DX44" i="1"/>
  <c r="EE44" i="1"/>
  <c r="EF44" i="1"/>
  <c r="EG44" i="1"/>
  <c r="EH44" i="1"/>
  <c r="EI44" i="1"/>
  <c r="DZ44" i="1" s="1"/>
  <c r="EJ44" i="1"/>
  <c r="EK44" i="1"/>
  <c r="EL44" i="1"/>
  <c r="EM44" i="1"/>
  <c r="EN44" i="1"/>
  <c r="S45" i="1"/>
  <c r="AF45" i="1"/>
  <c r="AG45" i="1"/>
  <c r="CX45" i="1" s="1"/>
  <c r="AH45" i="1"/>
  <c r="DH45" i="1" s="1"/>
  <c r="AI45" i="1"/>
  <c r="AJ45" i="1"/>
  <c r="AK45" i="1"/>
  <c r="AL45" i="1"/>
  <c r="AU45" i="1"/>
  <c r="AV45" i="1"/>
  <c r="CG45" i="1"/>
  <c r="CH45" i="1"/>
  <c r="CI45" i="1"/>
  <c r="CJ45" i="1"/>
  <c r="CK45" i="1"/>
  <c r="CL45" i="1"/>
  <c r="CM45" i="1"/>
  <c r="CN45" i="1"/>
  <c r="CO45" i="1"/>
  <c r="CP45" i="1"/>
  <c r="CQ45" i="1"/>
  <c r="CR45" i="1"/>
  <c r="CS45" i="1"/>
  <c r="CT45" i="1"/>
  <c r="CU45" i="1"/>
  <c r="CV45" i="1"/>
  <c r="CW45" i="1"/>
  <c r="DA45" i="1"/>
  <c r="DB45" i="1"/>
  <c r="DE45" i="1"/>
  <c r="DG45" i="1"/>
  <c r="DM45" i="1"/>
  <c r="DN45" i="1"/>
  <c r="DP45" i="1"/>
  <c r="DR45" i="1"/>
  <c r="DS45" i="1"/>
  <c r="DT45" i="1"/>
  <c r="DU45" i="1"/>
  <c r="DV45" i="1"/>
  <c r="DW45" i="1"/>
  <c r="DX45" i="1"/>
  <c r="EB45" i="1"/>
  <c r="EE45" i="1"/>
  <c r="AP45" i="1" s="1"/>
  <c r="EF45" i="1"/>
  <c r="EG45" i="1"/>
  <c r="EH45" i="1"/>
  <c r="EI45" i="1"/>
  <c r="DZ45" i="1" s="1"/>
  <c r="EJ45" i="1"/>
  <c r="EK45" i="1"/>
  <c r="EL45" i="1"/>
  <c r="EM45" i="1"/>
  <c r="EN45" i="1"/>
  <c r="S46" i="1"/>
  <c r="AF46" i="1"/>
  <c r="AG46" i="1"/>
  <c r="CX46" i="1" s="1"/>
  <c r="AH46" i="1"/>
  <c r="DH46" i="1" s="1"/>
  <c r="AI46" i="1"/>
  <c r="AJ46" i="1"/>
  <c r="AK46" i="1"/>
  <c r="AL46" i="1"/>
  <c r="AU46" i="1"/>
  <c r="AV46" i="1"/>
  <c r="CG46" i="1"/>
  <c r="CH46" i="1"/>
  <c r="CI46" i="1"/>
  <c r="CJ46" i="1"/>
  <c r="CK46" i="1"/>
  <c r="CL46" i="1"/>
  <c r="CM46" i="1"/>
  <c r="CN46" i="1"/>
  <c r="CO46" i="1"/>
  <c r="CP46" i="1"/>
  <c r="CQ46" i="1"/>
  <c r="CR46" i="1"/>
  <c r="CS46" i="1"/>
  <c r="CT46" i="1"/>
  <c r="CU46" i="1"/>
  <c r="CV46" i="1"/>
  <c r="CW46" i="1"/>
  <c r="DA46" i="1"/>
  <c r="DB46" i="1"/>
  <c r="DE46" i="1"/>
  <c r="DG46" i="1"/>
  <c r="DM46" i="1"/>
  <c r="DN46" i="1"/>
  <c r="DP46" i="1"/>
  <c r="DR46" i="1"/>
  <c r="DS46" i="1"/>
  <c r="DT46" i="1"/>
  <c r="DU46" i="1"/>
  <c r="DV46" i="1"/>
  <c r="DW46" i="1"/>
  <c r="DX46" i="1"/>
  <c r="EB46" i="1"/>
  <c r="EE46" i="1"/>
  <c r="AP46" i="1" s="1"/>
  <c r="EF46" i="1"/>
  <c r="EG46" i="1"/>
  <c r="EH46" i="1"/>
  <c r="EI46" i="1"/>
  <c r="EJ46" i="1"/>
  <c r="EK46" i="1"/>
  <c r="EL46" i="1"/>
  <c r="EM46" i="1"/>
  <c r="EN46" i="1"/>
  <c r="S47" i="1"/>
  <c r="AF47" i="1"/>
  <c r="AG47" i="1"/>
  <c r="CX47" i="1" s="1"/>
  <c r="AH47" i="1"/>
  <c r="DH47" i="1" s="1"/>
  <c r="AI47" i="1"/>
  <c r="AJ47" i="1"/>
  <c r="AK47" i="1"/>
  <c r="AL47" i="1"/>
  <c r="AU47" i="1"/>
  <c r="AV47" i="1"/>
  <c r="CG47" i="1"/>
  <c r="CH47" i="1"/>
  <c r="CI47" i="1"/>
  <c r="CJ47" i="1"/>
  <c r="CK47" i="1"/>
  <c r="CL47" i="1"/>
  <c r="CM47" i="1"/>
  <c r="CN47" i="1"/>
  <c r="CO47" i="1"/>
  <c r="CP47" i="1"/>
  <c r="CQ47" i="1"/>
  <c r="CR47" i="1"/>
  <c r="CS47" i="1"/>
  <c r="CT47" i="1"/>
  <c r="CU47" i="1"/>
  <c r="CV47" i="1"/>
  <c r="CW47" i="1"/>
  <c r="DA47" i="1"/>
  <c r="DB47" i="1"/>
  <c r="DE47" i="1"/>
  <c r="DG47" i="1"/>
  <c r="DM47" i="1"/>
  <c r="DN47" i="1"/>
  <c r="DP47" i="1"/>
  <c r="DR47" i="1"/>
  <c r="DS47" i="1"/>
  <c r="DT47" i="1"/>
  <c r="DU47" i="1"/>
  <c r="DV47" i="1"/>
  <c r="DW47" i="1"/>
  <c r="DX47" i="1"/>
  <c r="EB47" i="1"/>
  <c r="EE47" i="1"/>
  <c r="EF47" i="1"/>
  <c r="EG47" i="1"/>
  <c r="EH47" i="1"/>
  <c r="EI47" i="1"/>
  <c r="DZ47" i="1" s="1"/>
  <c r="EJ47" i="1"/>
  <c r="EK47" i="1"/>
  <c r="EL47" i="1"/>
  <c r="EM47" i="1"/>
  <c r="EN47" i="1"/>
  <c r="S48" i="1"/>
  <c r="AF48" i="1"/>
  <c r="AG48" i="1"/>
  <c r="CX48" i="1" s="1"/>
  <c r="AH48" i="1"/>
  <c r="DH48" i="1" s="1"/>
  <c r="AI48" i="1"/>
  <c r="AJ48" i="1"/>
  <c r="AK48" i="1"/>
  <c r="AL48" i="1"/>
  <c r="AU48" i="1"/>
  <c r="AV48" i="1"/>
  <c r="CG48" i="1"/>
  <c r="CH48" i="1"/>
  <c r="CI48" i="1"/>
  <c r="CJ48" i="1"/>
  <c r="CK48" i="1"/>
  <c r="CL48" i="1"/>
  <c r="CM48" i="1"/>
  <c r="CN48" i="1"/>
  <c r="CO48" i="1"/>
  <c r="CP48" i="1"/>
  <c r="CQ48" i="1"/>
  <c r="CR48" i="1"/>
  <c r="CS48" i="1"/>
  <c r="CT48" i="1"/>
  <c r="CU48" i="1"/>
  <c r="CV48" i="1"/>
  <c r="CW48" i="1"/>
  <c r="CY48" i="1"/>
  <c r="CZ48" i="1"/>
  <c r="DA48" i="1"/>
  <c r="DB48" i="1"/>
  <c r="DC48" i="1"/>
  <c r="DE48" i="1"/>
  <c r="DF48" i="1"/>
  <c r="DG48" i="1"/>
  <c r="DI48" i="1"/>
  <c r="DJ48" i="1"/>
  <c r="DM48" i="1"/>
  <c r="DN48" i="1"/>
  <c r="DP48" i="1"/>
  <c r="DQ48" i="1"/>
  <c r="DR48" i="1"/>
  <c r="DS48" i="1"/>
  <c r="DT48" i="1"/>
  <c r="DU48" i="1"/>
  <c r="DW48" i="1"/>
  <c r="DX48" i="1"/>
  <c r="DY48" i="1"/>
  <c r="EB48" i="1"/>
  <c r="EE48" i="1"/>
  <c r="EF48" i="1"/>
  <c r="EG48" i="1"/>
  <c r="EH48" i="1"/>
  <c r="EI48" i="1"/>
  <c r="DZ48" i="1" s="1"/>
  <c r="AP48" i="1" s="1"/>
  <c r="EJ48" i="1"/>
  <c r="EK48" i="1"/>
  <c r="EL48" i="1"/>
  <c r="EM48" i="1"/>
  <c r="EN48" i="1"/>
  <c r="S49" i="1"/>
  <c r="AF49" i="1"/>
  <c r="AG49" i="1"/>
  <c r="CX49" i="1" s="1"/>
  <c r="AH49" i="1"/>
  <c r="DH49" i="1" s="1"/>
  <c r="AI49" i="1"/>
  <c r="AJ49" i="1"/>
  <c r="AK49" i="1"/>
  <c r="AL49" i="1"/>
  <c r="AU49" i="1"/>
  <c r="AV49" i="1"/>
  <c r="CG49" i="1"/>
  <c r="CH49" i="1"/>
  <c r="EC49" i="1" s="1"/>
  <c r="CI49" i="1"/>
  <c r="CJ49" i="1"/>
  <c r="CK49" i="1"/>
  <c r="CL49" i="1"/>
  <c r="CM49" i="1"/>
  <c r="CN49" i="1"/>
  <c r="CO49" i="1"/>
  <c r="CP49" i="1"/>
  <c r="CQ49" i="1"/>
  <c r="CR49" i="1"/>
  <c r="CS49" i="1"/>
  <c r="CT49" i="1"/>
  <c r="CU49" i="1"/>
  <c r="CV49" i="1"/>
  <c r="CW49" i="1"/>
  <c r="CY49" i="1"/>
  <c r="CZ49" i="1"/>
  <c r="DA49" i="1"/>
  <c r="DB49" i="1"/>
  <c r="DC49" i="1"/>
  <c r="DE49" i="1"/>
  <c r="DF49" i="1"/>
  <c r="DG49" i="1"/>
  <c r="DI49" i="1"/>
  <c r="DJ49" i="1"/>
  <c r="DM49" i="1"/>
  <c r="DN49" i="1"/>
  <c r="DP49" i="1"/>
  <c r="DQ49" i="1"/>
  <c r="DR49" i="1"/>
  <c r="DS49" i="1"/>
  <c r="DT49" i="1"/>
  <c r="DU49" i="1"/>
  <c r="DW49" i="1"/>
  <c r="DX49" i="1"/>
  <c r="DY49" i="1"/>
  <c r="EB49" i="1"/>
  <c r="EE49" i="1"/>
  <c r="EF49" i="1"/>
  <c r="EG49" i="1"/>
  <c r="EH49" i="1"/>
  <c r="EI49" i="1"/>
  <c r="DZ49" i="1" s="1"/>
  <c r="AP49" i="1" s="1"/>
  <c r="EJ49" i="1"/>
  <c r="EK49" i="1"/>
  <c r="EL49" i="1"/>
  <c r="EM49" i="1"/>
  <c r="EN49" i="1"/>
  <c r="S50" i="1"/>
  <c r="AF50" i="1"/>
  <c r="AG50" i="1"/>
  <c r="CX50" i="1" s="1"/>
  <c r="AH50" i="1"/>
  <c r="DH50" i="1" s="1"/>
  <c r="AI50" i="1"/>
  <c r="AJ50" i="1"/>
  <c r="AK50" i="1"/>
  <c r="AL50" i="1"/>
  <c r="AU50" i="1"/>
  <c r="AV50" i="1"/>
  <c r="CG50" i="1"/>
  <c r="CH50" i="1"/>
  <c r="CI50" i="1"/>
  <c r="CJ50" i="1"/>
  <c r="CK50" i="1"/>
  <c r="CL50" i="1"/>
  <c r="CM50" i="1"/>
  <c r="CN50" i="1"/>
  <c r="CO50" i="1"/>
  <c r="CP50" i="1"/>
  <c r="CQ50" i="1"/>
  <c r="CR50" i="1"/>
  <c r="CS50" i="1"/>
  <c r="CT50" i="1"/>
  <c r="CU50" i="1"/>
  <c r="CV50" i="1"/>
  <c r="CW50" i="1"/>
  <c r="CY50" i="1"/>
  <c r="CZ50" i="1"/>
  <c r="DA50" i="1"/>
  <c r="DB50" i="1"/>
  <c r="DC50" i="1"/>
  <c r="DE50" i="1"/>
  <c r="DF50" i="1"/>
  <c r="DG50" i="1"/>
  <c r="DI50" i="1"/>
  <c r="DJ50" i="1"/>
  <c r="DM50" i="1"/>
  <c r="DN50" i="1"/>
  <c r="DP50" i="1"/>
  <c r="DQ50" i="1"/>
  <c r="DR50" i="1"/>
  <c r="DS50" i="1"/>
  <c r="DT50" i="1"/>
  <c r="DU50" i="1"/>
  <c r="DW50" i="1"/>
  <c r="DX50" i="1"/>
  <c r="DY50" i="1"/>
  <c r="EB50" i="1"/>
  <c r="EE50" i="1"/>
  <c r="EF50" i="1"/>
  <c r="EG50" i="1"/>
  <c r="EH50" i="1"/>
  <c r="EI50" i="1"/>
  <c r="DZ50" i="1" s="1"/>
  <c r="EJ50" i="1"/>
  <c r="EK50" i="1"/>
  <c r="EL50" i="1"/>
  <c r="EM50" i="1"/>
  <c r="EN50" i="1"/>
  <c r="S51" i="1"/>
  <c r="AF51" i="1"/>
  <c r="AG51" i="1"/>
  <c r="CX51" i="1" s="1"/>
  <c r="AH51" i="1"/>
  <c r="AI51" i="1"/>
  <c r="AJ51" i="1"/>
  <c r="AK51" i="1"/>
  <c r="AL51" i="1"/>
  <c r="AP51" i="1"/>
  <c r="AU51" i="1"/>
  <c r="AV51" i="1"/>
  <c r="DB51" i="1"/>
  <c r="DX51" i="1"/>
  <c r="AO51" i="1" s="1"/>
  <c r="EE51" i="1"/>
  <c r="EF51" i="1"/>
  <c r="EG51" i="1"/>
  <c r="EH51" i="1"/>
  <c r="EI51" i="1"/>
  <c r="EJ51" i="1"/>
  <c r="EK51" i="1"/>
  <c r="EL51" i="1"/>
  <c r="EM51" i="1"/>
  <c r="EN51" i="1"/>
  <c r="S52" i="1"/>
  <c r="AF52" i="1"/>
  <c r="AG52" i="1"/>
  <c r="CX52" i="1" s="1"/>
  <c r="AH52" i="1"/>
  <c r="AI52" i="1"/>
  <c r="AJ52" i="1"/>
  <c r="AK52" i="1"/>
  <c r="AL52" i="1"/>
  <c r="AU52" i="1"/>
  <c r="AV52" i="1"/>
  <c r="CG52" i="1"/>
  <c r="CH52" i="1"/>
  <c r="CI52" i="1"/>
  <c r="CJ52" i="1"/>
  <c r="CK52" i="1"/>
  <c r="CL52" i="1"/>
  <c r="CM52" i="1"/>
  <c r="CN52" i="1"/>
  <c r="CO52" i="1"/>
  <c r="CP52" i="1"/>
  <c r="CQ52" i="1"/>
  <c r="CR52" i="1"/>
  <c r="CS52" i="1"/>
  <c r="CT52" i="1"/>
  <c r="CU52" i="1"/>
  <c r="CV52" i="1"/>
  <c r="CW52" i="1"/>
  <c r="CY52" i="1"/>
  <c r="CZ52" i="1"/>
  <c r="DA52" i="1"/>
  <c r="DB52" i="1"/>
  <c r="DC52" i="1"/>
  <c r="DE52" i="1"/>
  <c r="DF52" i="1"/>
  <c r="DG52" i="1"/>
  <c r="DH52" i="1"/>
  <c r="DI52" i="1"/>
  <c r="DJ52" i="1"/>
  <c r="DM52" i="1"/>
  <c r="DN52" i="1"/>
  <c r="DP52" i="1"/>
  <c r="DQ52" i="1"/>
  <c r="DR52" i="1"/>
  <c r="DS52" i="1"/>
  <c r="DT52" i="1"/>
  <c r="DU52" i="1"/>
  <c r="DW52" i="1"/>
  <c r="DX52" i="1"/>
  <c r="DY52" i="1"/>
  <c r="EB52" i="1"/>
  <c r="EE52" i="1"/>
  <c r="EF52" i="1"/>
  <c r="EG52" i="1"/>
  <c r="EH52" i="1"/>
  <c r="EI52" i="1"/>
  <c r="DZ52" i="1" s="1"/>
  <c r="AP52" i="1" s="1"/>
  <c r="EJ52" i="1"/>
  <c r="EK52" i="1"/>
  <c r="EL52" i="1"/>
  <c r="EM52" i="1"/>
  <c r="EN52" i="1"/>
  <c r="S53" i="1"/>
  <c r="AF53" i="1"/>
  <c r="AG53" i="1"/>
  <c r="CX53" i="1" s="1"/>
  <c r="AH53" i="1"/>
  <c r="AI53" i="1"/>
  <c r="AJ53" i="1"/>
  <c r="AK53" i="1"/>
  <c r="AL53" i="1"/>
  <c r="AU53" i="1"/>
  <c r="AV53" i="1"/>
  <c r="CG53" i="1"/>
  <c r="CH53" i="1"/>
  <c r="CI53" i="1"/>
  <c r="CJ53" i="1"/>
  <c r="CK53" i="1"/>
  <c r="CL53" i="1"/>
  <c r="CM53" i="1"/>
  <c r="CN53" i="1"/>
  <c r="CO53" i="1"/>
  <c r="CP53" i="1"/>
  <c r="CQ53" i="1"/>
  <c r="CR53" i="1"/>
  <c r="CS53" i="1"/>
  <c r="CT53" i="1"/>
  <c r="CU53" i="1"/>
  <c r="CV53" i="1"/>
  <c r="CW53" i="1"/>
  <c r="CY53" i="1"/>
  <c r="CZ53" i="1"/>
  <c r="DA53" i="1"/>
  <c r="DB53" i="1"/>
  <c r="DC53" i="1"/>
  <c r="DE53" i="1"/>
  <c r="DF53" i="1"/>
  <c r="DG53" i="1"/>
  <c r="DH53" i="1"/>
  <c r="DI53" i="1"/>
  <c r="DJ53" i="1"/>
  <c r="DM53" i="1"/>
  <c r="DN53" i="1"/>
  <c r="DP53" i="1"/>
  <c r="DQ53" i="1"/>
  <c r="DR53" i="1"/>
  <c r="DS53" i="1"/>
  <c r="DT53" i="1"/>
  <c r="DU53" i="1"/>
  <c r="DW53" i="1"/>
  <c r="DX53" i="1"/>
  <c r="DY53" i="1"/>
  <c r="EB53" i="1"/>
  <c r="EE53" i="1"/>
  <c r="EF53" i="1"/>
  <c r="EG53" i="1"/>
  <c r="EH53" i="1"/>
  <c r="EI53" i="1"/>
  <c r="DZ53" i="1" s="1"/>
  <c r="AP53" i="1" s="1"/>
  <c r="EJ53" i="1"/>
  <c r="EK53" i="1"/>
  <c r="EL53" i="1"/>
  <c r="EM53" i="1"/>
  <c r="EN53" i="1"/>
  <c r="S54" i="1"/>
  <c r="AF54" i="1"/>
  <c r="AG54" i="1"/>
  <c r="CX54" i="1" s="1"/>
  <c r="AH54" i="1"/>
  <c r="DH54" i="1" s="1"/>
  <c r="AI54" i="1"/>
  <c r="AJ54" i="1"/>
  <c r="AK54" i="1"/>
  <c r="AL54" i="1"/>
  <c r="AU54" i="1"/>
  <c r="AV54" i="1"/>
  <c r="CG54" i="1"/>
  <c r="CH54" i="1"/>
  <c r="CI54" i="1"/>
  <c r="CJ54" i="1"/>
  <c r="CK54" i="1"/>
  <c r="CL54" i="1"/>
  <c r="CM54" i="1"/>
  <c r="CN54" i="1"/>
  <c r="CO54" i="1"/>
  <c r="CP54" i="1"/>
  <c r="CQ54" i="1"/>
  <c r="CR54" i="1"/>
  <c r="CS54" i="1"/>
  <c r="CT54" i="1"/>
  <c r="CU54" i="1"/>
  <c r="CV54" i="1"/>
  <c r="CW54" i="1"/>
  <c r="CY54" i="1"/>
  <c r="CZ54" i="1"/>
  <c r="DA54" i="1"/>
  <c r="DB54" i="1"/>
  <c r="DC54" i="1"/>
  <c r="DE54" i="1"/>
  <c r="DF54" i="1"/>
  <c r="DG54" i="1"/>
  <c r="DI54" i="1"/>
  <c r="DJ54" i="1"/>
  <c r="DM54" i="1"/>
  <c r="DN54" i="1"/>
  <c r="DP54" i="1"/>
  <c r="DQ54" i="1"/>
  <c r="DR54" i="1"/>
  <c r="DS54" i="1"/>
  <c r="DT54" i="1"/>
  <c r="DU54" i="1"/>
  <c r="DW54" i="1"/>
  <c r="DX54" i="1"/>
  <c r="DY54" i="1"/>
  <c r="EB54" i="1"/>
  <c r="EE54" i="1"/>
  <c r="EF54" i="1"/>
  <c r="EG54" i="1"/>
  <c r="EH54" i="1"/>
  <c r="EI54" i="1"/>
  <c r="DZ54" i="1" s="1"/>
  <c r="AP54" i="1" s="1"/>
  <c r="EJ54" i="1"/>
  <c r="EK54" i="1"/>
  <c r="EL54" i="1"/>
  <c r="EM54" i="1"/>
  <c r="EN54" i="1"/>
  <c r="S55" i="1"/>
  <c r="AF55" i="1"/>
  <c r="AG55" i="1"/>
  <c r="CX55" i="1" s="1"/>
  <c r="AH55" i="1"/>
  <c r="DH55" i="1" s="1"/>
  <c r="AI55" i="1"/>
  <c r="AJ55" i="1"/>
  <c r="AK55" i="1"/>
  <c r="AL55" i="1"/>
  <c r="AU55" i="1"/>
  <c r="AV55" i="1"/>
  <c r="CG55" i="1"/>
  <c r="CH55" i="1"/>
  <c r="CI55" i="1"/>
  <c r="CJ55" i="1"/>
  <c r="CK55" i="1"/>
  <c r="CL55" i="1"/>
  <c r="CM55" i="1"/>
  <c r="CN55" i="1"/>
  <c r="CO55" i="1"/>
  <c r="CP55" i="1"/>
  <c r="CQ55" i="1"/>
  <c r="CR55" i="1"/>
  <c r="CS55" i="1"/>
  <c r="CT55" i="1"/>
  <c r="CU55" i="1"/>
  <c r="CV55" i="1"/>
  <c r="CW55" i="1"/>
  <c r="CY55" i="1"/>
  <c r="CZ55" i="1"/>
  <c r="DA55" i="1"/>
  <c r="DB55" i="1"/>
  <c r="DC55" i="1"/>
  <c r="DE55" i="1"/>
  <c r="DF55" i="1"/>
  <c r="DG55" i="1"/>
  <c r="DI55" i="1"/>
  <c r="DJ55" i="1"/>
  <c r="DM55" i="1"/>
  <c r="DN55" i="1"/>
  <c r="DP55" i="1"/>
  <c r="DQ55" i="1"/>
  <c r="DR55" i="1"/>
  <c r="DS55" i="1"/>
  <c r="DT55" i="1"/>
  <c r="DU55" i="1"/>
  <c r="DW55" i="1"/>
  <c r="DX55" i="1"/>
  <c r="DY55" i="1"/>
  <c r="EB55" i="1"/>
  <c r="EE55" i="1"/>
  <c r="EF55" i="1"/>
  <c r="EG55" i="1"/>
  <c r="EH55" i="1"/>
  <c r="EI55" i="1"/>
  <c r="DZ55" i="1" s="1"/>
  <c r="EJ55" i="1"/>
  <c r="EK55" i="1"/>
  <c r="EL55" i="1"/>
  <c r="EM55" i="1"/>
  <c r="EN55" i="1"/>
  <c r="J56" i="1"/>
  <c r="EE56" i="1" s="1"/>
  <c r="AG56" i="1"/>
  <c r="AH56" i="1"/>
  <c r="AI56" i="1"/>
  <c r="AJ56" i="1"/>
  <c r="AK56" i="1"/>
  <c r="AL56" i="1"/>
  <c r="AU56" i="1"/>
  <c r="AV56" i="1"/>
  <c r="J57" i="1"/>
  <c r="EF57" i="1" s="1"/>
  <c r="AG57" i="1"/>
  <c r="AH57" i="1"/>
  <c r="AI57" i="1"/>
  <c r="AJ57" i="1"/>
  <c r="AK57" i="1"/>
  <c r="AL57" i="1"/>
  <c r="AU57" i="1"/>
  <c r="AV57" i="1"/>
  <c r="DT57" i="1"/>
  <c r="J58" i="1"/>
  <c r="EN58" i="1" s="1"/>
  <c r="AG58" i="1"/>
  <c r="AH58" i="1"/>
  <c r="AI58" i="1"/>
  <c r="AJ58" i="1"/>
  <c r="AK58" i="1"/>
  <c r="AL58" i="1"/>
  <c r="AU58" i="1"/>
  <c r="AV58" i="1"/>
  <c r="DT58" i="1"/>
  <c r="S59" i="1"/>
  <c r="AH59" i="1"/>
  <c r="DH59" i="1" s="1"/>
  <c r="AJ59" i="1"/>
  <c r="CG59" i="1"/>
  <c r="CH59" i="1"/>
  <c r="CK59" i="1"/>
  <c r="CL59" i="1"/>
  <c r="CN59" i="1"/>
  <c r="CS59" i="1"/>
  <c r="CT59" i="1"/>
  <c r="CW59" i="1"/>
  <c r="DA59" i="1"/>
  <c r="DB59" i="1"/>
  <c r="DD59" i="1"/>
  <c r="DE59" i="1"/>
  <c r="DF59" i="1"/>
  <c r="DJ59" i="1"/>
  <c r="DM59" i="1"/>
  <c r="DN59" i="1"/>
  <c r="DP59" i="1"/>
  <c r="DT59" i="1"/>
  <c r="DV59" i="1"/>
  <c r="DX59" i="1"/>
  <c r="DY59" i="1"/>
  <c r="EB59" i="1"/>
  <c r="S60" i="1"/>
  <c r="AF60" i="1"/>
  <c r="AG60" i="1"/>
  <c r="CX60" i="1" s="1"/>
  <c r="AH60" i="1"/>
  <c r="DH60" i="1" s="1"/>
  <c r="AI60" i="1"/>
  <c r="AJ60" i="1"/>
  <c r="AK60" i="1"/>
  <c r="AL60" i="1"/>
  <c r="AN60" i="1"/>
  <c r="AU60" i="1"/>
  <c r="AV60" i="1"/>
  <c r="CG60" i="1"/>
  <c r="CH60" i="1"/>
  <c r="CI60" i="1"/>
  <c r="CJ60" i="1"/>
  <c r="CK60" i="1"/>
  <c r="CL60" i="1"/>
  <c r="CM60" i="1"/>
  <c r="CN60" i="1"/>
  <c r="CO60" i="1"/>
  <c r="CP60" i="1"/>
  <c r="CQ60" i="1"/>
  <c r="CR60" i="1"/>
  <c r="CS60" i="1"/>
  <c r="CT60" i="1"/>
  <c r="CU60" i="1"/>
  <c r="CV60" i="1"/>
  <c r="CW60" i="1"/>
  <c r="CY60" i="1"/>
  <c r="CZ60" i="1"/>
  <c r="DA60" i="1"/>
  <c r="DB60" i="1"/>
  <c r="DC60" i="1"/>
  <c r="DD60" i="1"/>
  <c r="DE60" i="1"/>
  <c r="DF60" i="1"/>
  <c r="DG60" i="1"/>
  <c r="DI60" i="1"/>
  <c r="DJ60" i="1"/>
  <c r="DM60" i="1"/>
  <c r="DN60" i="1"/>
  <c r="DO60" i="1"/>
  <c r="DP60" i="1"/>
  <c r="DQ60" i="1"/>
  <c r="DR60" i="1"/>
  <c r="DS60" i="1"/>
  <c r="DT60" i="1"/>
  <c r="DU60" i="1"/>
  <c r="DV60" i="1"/>
  <c r="DW60" i="1"/>
  <c r="DX60" i="1"/>
  <c r="DY60" i="1"/>
  <c r="EA60" i="1"/>
  <c r="EB60" i="1"/>
  <c r="EE60" i="1"/>
  <c r="EF60" i="1"/>
  <c r="EG60" i="1"/>
  <c r="EH60" i="1"/>
  <c r="EI60" i="1"/>
  <c r="EJ60" i="1"/>
  <c r="EK60" i="1"/>
  <c r="EL60" i="1"/>
  <c r="EM60" i="1"/>
  <c r="EN60" i="1"/>
  <c r="S61" i="1"/>
  <c r="AF61" i="1"/>
  <c r="AG61" i="1"/>
  <c r="CX61" i="1" s="1"/>
  <c r="AH61" i="1"/>
  <c r="DH61" i="1" s="1"/>
  <c r="AI61" i="1"/>
  <c r="AJ61" i="1"/>
  <c r="AK61" i="1"/>
  <c r="AL61" i="1"/>
  <c r="AN61" i="1"/>
  <c r="AU61" i="1"/>
  <c r="AV61" i="1"/>
  <c r="CG61" i="1"/>
  <c r="CH61" i="1"/>
  <c r="CI61" i="1"/>
  <c r="CJ61" i="1"/>
  <c r="CK61" i="1"/>
  <c r="CL61" i="1"/>
  <c r="CM61" i="1"/>
  <c r="CN61" i="1"/>
  <c r="CO61" i="1"/>
  <c r="CP61" i="1"/>
  <c r="CQ61" i="1"/>
  <c r="CR61" i="1"/>
  <c r="CS61" i="1"/>
  <c r="CT61" i="1"/>
  <c r="CU61" i="1"/>
  <c r="CV61" i="1"/>
  <c r="CW61" i="1"/>
  <c r="CY61" i="1"/>
  <c r="CZ61" i="1"/>
  <c r="DA61" i="1"/>
  <c r="DB61" i="1"/>
  <c r="DC61" i="1"/>
  <c r="DD61" i="1"/>
  <c r="DE61" i="1"/>
  <c r="DF61" i="1"/>
  <c r="DG61" i="1"/>
  <c r="DI61" i="1"/>
  <c r="DJ61" i="1"/>
  <c r="DM61" i="1"/>
  <c r="DN61" i="1"/>
  <c r="DO61" i="1"/>
  <c r="DP61" i="1"/>
  <c r="DQ61" i="1"/>
  <c r="DR61" i="1"/>
  <c r="DS61" i="1"/>
  <c r="DT61" i="1"/>
  <c r="DU61" i="1"/>
  <c r="DV61" i="1"/>
  <c r="DW61" i="1"/>
  <c r="DX61" i="1"/>
  <c r="DY61" i="1"/>
  <c r="EA61" i="1"/>
  <c r="EB61" i="1"/>
  <c r="EE61" i="1"/>
  <c r="EF61" i="1"/>
  <c r="EG61" i="1"/>
  <c r="EH61" i="1"/>
  <c r="EI61" i="1"/>
  <c r="EJ61" i="1"/>
  <c r="EK61" i="1"/>
  <c r="EL61" i="1"/>
  <c r="EM61" i="1"/>
  <c r="EN61" i="1"/>
  <c r="S62" i="1"/>
  <c r="AF62" i="1"/>
  <c r="AG62" i="1"/>
  <c r="CX62" i="1" s="1"/>
  <c r="AH62" i="1"/>
  <c r="DH62" i="1" s="1"/>
  <c r="AI62" i="1"/>
  <c r="AJ62" i="1"/>
  <c r="AK62" i="1"/>
  <c r="AL62" i="1"/>
  <c r="AN62" i="1"/>
  <c r="AU62" i="1"/>
  <c r="AV62" i="1"/>
  <c r="CG62" i="1"/>
  <c r="CH62" i="1"/>
  <c r="CI62" i="1"/>
  <c r="CL62" i="1"/>
  <c r="CM62" i="1"/>
  <c r="CN62" i="1"/>
  <c r="CO62" i="1"/>
  <c r="CP62" i="1"/>
  <c r="CQ62" i="1"/>
  <c r="CR62" i="1"/>
  <c r="CS62" i="1"/>
  <c r="CU62" i="1"/>
  <c r="CV62" i="1"/>
  <c r="CW62" i="1"/>
  <c r="CY62" i="1"/>
  <c r="CZ62" i="1"/>
  <c r="DB62" i="1"/>
  <c r="DC62" i="1"/>
  <c r="DD62" i="1"/>
  <c r="DE62" i="1"/>
  <c r="DF62" i="1"/>
  <c r="DG62" i="1"/>
  <c r="DI62" i="1"/>
  <c r="DM62" i="1"/>
  <c r="DU62" i="1"/>
  <c r="DV62" i="1"/>
  <c r="DW62" i="1"/>
  <c r="DX62" i="1"/>
  <c r="DY62" i="1"/>
  <c r="EA62" i="1"/>
  <c r="EB62" i="1"/>
  <c r="EE62" i="1"/>
  <c r="EF62" i="1"/>
  <c r="EG62" i="1"/>
  <c r="EH62" i="1"/>
  <c r="EI62" i="1"/>
  <c r="EJ62" i="1"/>
  <c r="EK62" i="1"/>
  <c r="EL62" i="1"/>
  <c r="EM62" i="1"/>
  <c r="EN62" i="1"/>
  <c r="S63" i="1"/>
  <c r="AF63" i="1"/>
  <c r="AG63" i="1"/>
  <c r="CX63" i="1" s="1"/>
  <c r="AH63" i="1"/>
  <c r="DH63" i="1" s="1"/>
  <c r="AI63" i="1"/>
  <c r="AJ63" i="1"/>
  <c r="AK63" i="1"/>
  <c r="AL63" i="1"/>
  <c r="AN63" i="1"/>
  <c r="AU63" i="1"/>
  <c r="AV63" i="1"/>
  <c r="CG63" i="1"/>
  <c r="CH63" i="1"/>
  <c r="CI63" i="1"/>
  <c r="CL63" i="1"/>
  <c r="CM63" i="1"/>
  <c r="CN63" i="1"/>
  <c r="CO63" i="1"/>
  <c r="CP63" i="1"/>
  <c r="CQ63" i="1"/>
  <c r="CR63" i="1"/>
  <c r="CS63" i="1"/>
  <c r="CU63" i="1"/>
  <c r="CV63" i="1"/>
  <c r="CW63" i="1"/>
  <c r="CY63" i="1"/>
  <c r="CZ63" i="1"/>
  <c r="DB63" i="1"/>
  <c r="DC63" i="1"/>
  <c r="DD63" i="1"/>
  <c r="DE63" i="1"/>
  <c r="DF63" i="1"/>
  <c r="DG63" i="1"/>
  <c r="DI63" i="1"/>
  <c r="DM63" i="1"/>
  <c r="DU63" i="1"/>
  <c r="DV63" i="1"/>
  <c r="DW63" i="1"/>
  <c r="DX63" i="1"/>
  <c r="DY63" i="1"/>
  <c r="EA63" i="1"/>
  <c r="EB63" i="1"/>
  <c r="EE63" i="1"/>
  <c r="EF63" i="1"/>
  <c r="EG63" i="1"/>
  <c r="EH63" i="1"/>
  <c r="EI63" i="1"/>
  <c r="EJ63" i="1"/>
  <c r="EK63" i="1"/>
  <c r="EL63" i="1"/>
  <c r="EM63" i="1"/>
  <c r="EN63" i="1"/>
  <c r="S64" i="1"/>
  <c r="AF64" i="1"/>
  <c r="AG64" i="1"/>
  <c r="CX64" i="1" s="1"/>
  <c r="AH64" i="1"/>
  <c r="DH64" i="1" s="1"/>
  <c r="AI64" i="1"/>
  <c r="AJ64" i="1"/>
  <c r="AK64" i="1"/>
  <c r="AL64" i="1"/>
  <c r="AN64" i="1"/>
  <c r="AU64" i="1"/>
  <c r="AV64" i="1"/>
  <c r="CG64" i="1"/>
  <c r="CH64" i="1"/>
  <c r="CI64" i="1"/>
  <c r="CL64" i="1"/>
  <c r="CM64" i="1"/>
  <c r="CN64" i="1"/>
  <c r="CO64" i="1"/>
  <c r="CP64" i="1"/>
  <c r="CQ64" i="1"/>
  <c r="CR64" i="1"/>
  <c r="CS64" i="1"/>
  <c r="CU64" i="1"/>
  <c r="CV64" i="1"/>
  <c r="CW64" i="1"/>
  <c r="CY64" i="1"/>
  <c r="CZ64" i="1"/>
  <c r="DB64" i="1"/>
  <c r="DC64" i="1"/>
  <c r="DD64" i="1"/>
  <c r="DE64" i="1"/>
  <c r="DF64" i="1"/>
  <c r="DG64" i="1"/>
  <c r="DI64" i="1"/>
  <c r="DM64" i="1"/>
  <c r="DU64" i="1"/>
  <c r="DV64" i="1"/>
  <c r="DW64" i="1"/>
  <c r="DX64" i="1"/>
  <c r="DY64" i="1"/>
  <c r="EA64" i="1"/>
  <c r="EB64" i="1"/>
  <c r="EE64" i="1"/>
  <c r="EF64" i="1"/>
  <c r="EG64" i="1"/>
  <c r="EH64" i="1"/>
  <c r="EI64" i="1"/>
  <c r="EJ64" i="1"/>
  <c r="EK64" i="1"/>
  <c r="EL64" i="1"/>
  <c r="EM64" i="1"/>
  <c r="EN64" i="1"/>
  <c r="S65" i="1"/>
  <c r="AF65" i="1"/>
  <c r="AG65" i="1"/>
  <c r="CX65" i="1" s="1"/>
  <c r="AH65" i="1"/>
  <c r="DH65" i="1" s="1"/>
  <c r="AI65" i="1"/>
  <c r="AJ65" i="1"/>
  <c r="AK65" i="1"/>
  <c r="AL65" i="1"/>
  <c r="AN65" i="1"/>
  <c r="AU65" i="1"/>
  <c r="AV65" i="1"/>
  <c r="CG65" i="1"/>
  <c r="CH65" i="1"/>
  <c r="CI65" i="1"/>
  <c r="CL65" i="1"/>
  <c r="CM65" i="1"/>
  <c r="CN65" i="1"/>
  <c r="CO65" i="1"/>
  <c r="CP65" i="1"/>
  <c r="CQ65" i="1"/>
  <c r="CR65" i="1"/>
  <c r="CS65" i="1"/>
  <c r="CU65" i="1"/>
  <c r="CV65" i="1"/>
  <c r="CW65" i="1"/>
  <c r="CY65" i="1"/>
  <c r="CZ65" i="1"/>
  <c r="DB65" i="1"/>
  <c r="DC65" i="1"/>
  <c r="DD65" i="1"/>
  <c r="DE65" i="1"/>
  <c r="DF65" i="1"/>
  <c r="DG65" i="1"/>
  <c r="DI65" i="1"/>
  <c r="DM65" i="1"/>
  <c r="DU65" i="1"/>
  <c r="DV65" i="1"/>
  <c r="DW65" i="1"/>
  <c r="DX65" i="1"/>
  <c r="DY65" i="1"/>
  <c r="EA65" i="1"/>
  <c r="EB65" i="1"/>
  <c r="EE65" i="1"/>
  <c r="EF65" i="1"/>
  <c r="EG65" i="1"/>
  <c r="EH65" i="1"/>
  <c r="EI65" i="1"/>
  <c r="EJ65" i="1"/>
  <c r="EK65" i="1"/>
  <c r="EL65" i="1"/>
  <c r="EM65" i="1"/>
  <c r="EN65" i="1"/>
  <c r="S66" i="1"/>
  <c r="AF66" i="1"/>
  <c r="AG66" i="1"/>
  <c r="CX66" i="1" s="1"/>
  <c r="AH66" i="1"/>
  <c r="DH66" i="1" s="1"/>
  <c r="AI66" i="1"/>
  <c r="AJ66" i="1"/>
  <c r="AK66" i="1"/>
  <c r="AL66" i="1"/>
  <c r="AN66" i="1"/>
  <c r="AU66" i="1"/>
  <c r="AV66" i="1"/>
  <c r="CG66" i="1"/>
  <c r="CH66" i="1"/>
  <c r="CI66" i="1"/>
  <c r="CL66" i="1"/>
  <c r="CM66" i="1"/>
  <c r="CN66" i="1"/>
  <c r="CO66" i="1"/>
  <c r="CP66" i="1"/>
  <c r="CQ66" i="1"/>
  <c r="CR66" i="1"/>
  <c r="CS66" i="1"/>
  <c r="CU66" i="1"/>
  <c r="CV66" i="1"/>
  <c r="CW66" i="1"/>
  <c r="CY66" i="1"/>
  <c r="CZ66" i="1"/>
  <c r="DB66" i="1"/>
  <c r="DC66" i="1"/>
  <c r="DD66" i="1"/>
  <c r="DE66" i="1"/>
  <c r="DF66" i="1"/>
  <c r="DG66" i="1"/>
  <c r="DI66" i="1"/>
  <c r="DM66" i="1"/>
  <c r="DU66" i="1"/>
  <c r="DV66" i="1"/>
  <c r="DW66" i="1"/>
  <c r="DX66" i="1"/>
  <c r="DY66" i="1"/>
  <c r="EA66" i="1"/>
  <c r="EB66" i="1"/>
  <c r="EE66" i="1"/>
  <c r="EF66" i="1"/>
  <c r="EG66" i="1"/>
  <c r="EH66" i="1"/>
  <c r="EI66" i="1"/>
  <c r="EJ66" i="1"/>
  <c r="EK66" i="1"/>
  <c r="EL66" i="1"/>
  <c r="EM66" i="1"/>
  <c r="EN66" i="1"/>
  <c r="S67" i="1"/>
  <c r="AF67" i="1"/>
  <c r="AG67" i="1"/>
  <c r="CX67" i="1" s="1"/>
  <c r="AH67" i="1"/>
  <c r="DH67" i="1" s="1"/>
  <c r="AI67" i="1"/>
  <c r="AJ67" i="1"/>
  <c r="AK67" i="1"/>
  <c r="AL67" i="1"/>
  <c r="AN67" i="1"/>
  <c r="AU67" i="1"/>
  <c r="AV67" i="1"/>
  <c r="CG67" i="1"/>
  <c r="CH67" i="1"/>
  <c r="CI67" i="1"/>
  <c r="CJ67" i="1"/>
  <c r="CK67" i="1"/>
  <c r="CL67" i="1"/>
  <c r="CM67" i="1"/>
  <c r="CN67" i="1"/>
  <c r="CO67" i="1"/>
  <c r="CP67" i="1"/>
  <c r="CQ67" i="1"/>
  <c r="CR67" i="1"/>
  <c r="CS67" i="1"/>
  <c r="CT67" i="1"/>
  <c r="CU67" i="1"/>
  <c r="CV67" i="1"/>
  <c r="CW67" i="1"/>
  <c r="CY67" i="1"/>
  <c r="CZ67" i="1"/>
  <c r="DA67" i="1"/>
  <c r="DB67" i="1"/>
  <c r="DC67" i="1"/>
  <c r="DD67" i="1"/>
  <c r="DE67" i="1"/>
  <c r="DF67" i="1"/>
  <c r="DG67" i="1"/>
  <c r="DI67" i="1"/>
  <c r="DJ67" i="1"/>
  <c r="DM67" i="1"/>
  <c r="DN67" i="1"/>
  <c r="DO67" i="1"/>
  <c r="DP67" i="1"/>
  <c r="DQ67" i="1"/>
  <c r="DR67" i="1"/>
  <c r="DS67" i="1"/>
  <c r="DT67" i="1"/>
  <c r="DU67" i="1"/>
  <c r="DV67" i="1"/>
  <c r="DW67" i="1"/>
  <c r="DX67" i="1"/>
  <c r="DY67" i="1"/>
  <c r="EA67" i="1"/>
  <c r="EB67" i="1"/>
  <c r="EE67" i="1"/>
  <c r="EF67" i="1"/>
  <c r="EG67" i="1"/>
  <c r="EH67" i="1"/>
  <c r="EI67" i="1"/>
  <c r="EJ67" i="1"/>
  <c r="EK67" i="1"/>
  <c r="EL67" i="1"/>
  <c r="EM67" i="1"/>
  <c r="EN67" i="1"/>
  <c r="S68" i="1"/>
  <c r="AF68" i="1"/>
  <c r="AG68" i="1"/>
  <c r="CX68" i="1" s="1"/>
  <c r="AH68" i="1"/>
  <c r="DH68" i="1" s="1"/>
  <c r="AI68" i="1"/>
  <c r="AJ68" i="1"/>
  <c r="AK68" i="1"/>
  <c r="AL68" i="1"/>
  <c r="AN68" i="1"/>
  <c r="AU68" i="1"/>
  <c r="AV68" i="1"/>
  <c r="CG68" i="1"/>
  <c r="CH68" i="1"/>
  <c r="CI68" i="1"/>
  <c r="CJ68" i="1"/>
  <c r="CK68" i="1"/>
  <c r="CL68" i="1"/>
  <c r="CM68" i="1"/>
  <c r="CN68" i="1"/>
  <c r="CO68" i="1"/>
  <c r="CP68" i="1"/>
  <c r="CQ68" i="1"/>
  <c r="CR68" i="1"/>
  <c r="CS68" i="1"/>
  <c r="CT68" i="1"/>
  <c r="CU68" i="1"/>
  <c r="CV68" i="1"/>
  <c r="CW68" i="1"/>
  <c r="CY68" i="1"/>
  <c r="CZ68" i="1"/>
  <c r="DA68" i="1"/>
  <c r="DB68" i="1"/>
  <c r="DC68" i="1"/>
  <c r="DD68" i="1"/>
  <c r="DE68" i="1"/>
  <c r="DF68" i="1"/>
  <c r="DG68" i="1"/>
  <c r="DI68" i="1"/>
  <c r="DJ68" i="1"/>
  <c r="DM68" i="1"/>
  <c r="DN68" i="1"/>
  <c r="DO68" i="1"/>
  <c r="DP68" i="1"/>
  <c r="DQ68" i="1"/>
  <c r="DR68" i="1"/>
  <c r="DS68" i="1"/>
  <c r="DT68" i="1"/>
  <c r="DU68" i="1"/>
  <c r="DV68" i="1"/>
  <c r="DW68" i="1"/>
  <c r="DX68" i="1"/>
  <c r="DY68" i="1"/>
  <c r="EA68" i="1"/>
  <c r="EB68" i="1"/>
  <c r="EE68" i="1"/>
  <c r="EF68" i="1"/>
  <c r="EG68" i="1"/>
  <c r="EH68" i="1"/>
  <c r="EI68" i="1"/>
  <c r="EJ68" i="1"/>
  <c r="EK68" i="1"/>
  <c r="EL68" i="1"/>
  <c r="EM68" i="1"/>
  <c r="EN68" i="1"/>
  <c r="S69" i="1"/>
  <c r="AF69" i="1"/>
  <c r="AG69" i="1"/>
  <c r="CX69" i="1" s="1"/>
  <c r="AH69" i="1"/>
  <c r="DH69" i="1" s="1"/>
  <c r="AI69" i="1"/>
  <c r="AJ69" i="1"/>
  <c r="AK69" i="1"/>
  <c r="AL69" i="1"/>
  <c r="AN69" i="1"/>
  <c r="AU69" i="1"/>
  <c r="AV69" i="1"/>
  <c r="CG69" i="1"/>
  <c r="CH69" i="1"/>
  <c r="CI69" i="1"/>
  <c r="CL69" i="1"/>
  <c r="CM69" i="1"/>
  <c r="CN69" i="1"/>
  <c r="CO69" i="1"/>
  <c r="CP69" i="1"/>
  <c r="CQ69" i="1"/>
  <c r="CR69" i="1"/>
  <c r="CS69" i="1"/>
  <c r="CU69" i="1"/>
  <c r="CV69" i="1"/>
  <c r="CW69" i="1"/>
  <c r="CY69" i="1"/>
  <c r="CZ69" i="1"/>
  <c r="DB69" i="1"/>
  <c r="DC69" i="1"/>
  <c r="DD69" i="1"/>
  <c r="DE69" i="1"/>
  <c r="DF69" i="1"/>
  <c r="DG69" i="1"/>
  <c r="DI69" i="1"/>
  <c r="DM69" i="1"/>
  <c r="DN69" i="1"/>
  <c r="DU69" i="1"/>
  <c r="DV69" i="1"/>
  <c r="DW69" i="1"/>
  <c r="DX69" i="1"/>
  <c r="DY69" i="1"/>
  <c r="EA69" i="1"/>
  <c r="EB69" i="1"/>
  <c r="EE69" i="1"/>
  <c r="EF69" i="1"/>
  <c r="EG69" i="1"/>
  <c r="EH69" i="1"/>
  <c r="EI69" i="1"/>
  <c r="EJ69" i="1"/>
  <c r="EK69" i="1"/>
  <c r="EL69" i="1"/>
  <c r="EM69" i="1"/>
  <c r="EN69" i="1"/>
  <c r="S70" i="1"/>
  <c r="AF70" i="1"/>
  <c r="AG70" i="1"/>
  <c r="CX70" i="1" s="1"/>
  <c r="AH70" i="1"/>
  <c r="DH70" i="1" s="1"/>
  <c r="AI70" i="1"/>
  <c r="AJ70" i="1"/>
  <c r="AK70" i="1"/>
  <c r="AL70" i="1"/>
  <c r="AN70" i="1"/>
  <c r="AU70" i="1"/>
  <c r="AV70" i="1"/>
  <c r="CG70" i="1"/>
  <c r="CH70" i="1"/>
  <c r="CI70" i="1"/>
  <c r="CL70" i="1"/>
  <c r="CM70" i="1"/>
  <c r="CN70" i="1"/>
  <c r="CO70" i="1"/>
  <c r="CP70" i="1"/>
  <c r="CQ70" i="1"/>
  <c r="CR70" i="1"/>
  <c r="CS70" i="1"/>
  <c r="CU70" i="1"/>
  <c r="CV70" i="1"/>
  <c r="CW70" i="1"/>
  <c r="CY70" i="1"/>
  <c r="CZ70" i="1"/>
  <c r="DB70" i="1"/>
  <c r="DC70" i="1"/>
  <c r="DD70" i="1"/>
  <c r="DE70" i="1"/>
  <c r="DF70" i="1"/>
  <c r="DG70" i="1"/>
  <c r="DI70" i="1"/>
  <c r="DM70" i="1"/>
  <c r="DN70" i="1"/>
  <c r="DU70" i="1"/>
  <c r="DV70" i="1"/>
  <c r="DW70" i="1"/>
  <c r="DX70" i="1"/>
  <c r="DY70" i="1"/>
  <c r="EA70" i="1"/>
  <c r="EB70" i="1"/>
  <c r="EE70" i="1"/>
  <c r="EF70" i="1"/>
  <c r="EG70" i="1"/>
  <c r="EH70" i="1"/>
  <c r="EI70" i="1"/>
  <c r="EJ70" i="1"/>
  <c r="EK70" i="1"/>
  <c r="EL70" i="1"/>
  <c r="EM70" i="1"/>
  <c r="EN70" i="1"/>
  <c r="S71" i="1"/>
  <c r="AF71" i="1"/>
  <c r="AG71" i="1"/>
  <c r="CX71" i="1" s="1"/>
  <c r="AH71" i="1"/>
  <c r="DH71" i="1" s="1"/>
  <c r="AI71" i="1"/>
  <c r="AJ71" i="1"/>
  <c r="AK71" i="1"/>
  <c r="AL71" i="1"/>
  <c r="AN71" i="1"/>
  <c r="AU71" i="1"/>
  <c r="AV71" i="1"/>
  <c r="CG71" i="1"/>
  <c r="CH71" i="1"/>
  <c r="CI71" i="1"/>
  <c r="CL71" i="1"/>
  <c r="CM71" i="1"/>
  <c r="CN71" i="1"/>
  <c r="CO71" i="1"/>
  <c r="CP71" i="1"/>
  <c r="CQ71" i="1"/>
  <c r="CR71" i="1"/>
  <c r="CS71" i="1"/>
  <c r="CT71" i="1"/>
  <c r="CU71" i="1"/>
  <c r="CV71" i="1"/>
  <c r="CW71" i="1"/>
  <c r="CY71" i="1"/>
  <c r="CZ71" i="1"/>
  <c r="DB71" i="1"/>
  <c r="DC71" i="1"/>
  <c r="DD71" i="1"/>
  <c r="DE71" i="1"/>
  <c r="DF71" i="1"/>
  <c r="DG71" i="1"/>
  <c r="DI71" i="1"/>
  <c r="DM71" i="1"/>
  <c r="DN71" i="1"/>
  <c r="DU71" i="1"/>
  <c r="DV71" i="1"/>
  <c r="DW71" i="1"/>
  <c r="DX71" i="1"/>
  <c r="DY71" i="1"/>
  <c r="EA71" i="1"/>
  <c r="EB71" i="1"/>
  <c r="EE71" i="1"/>
  <c r="EF71" i="1"/>
  <c r="EG71" i="1"/>
  <c r="EH71" i="1"/>
  <c r="EI71" i="1"/>
  <c r="EJ71" i="1"/>
  <c r="EK71" i="1"/>
  <c r="EL71" i="1"/>
  <c r="EM71" i="1"/>
  <c r="EN71" i="1"/>
  <c r="S72" i="1"/>
  <c r="AF72" i="1"/>
  <c r="AG72" i="1"/>
  <c r="CX72" i="1" s="1"/>
  <c r="AH72" i="1"/>
  <c r="DH72" i="1" s="1"/>
  <c r="AI72" i="1"/>
  <c r="AJ72" i="1"/>
  <c r="AK72" i="1"/>
  <c r="AL72" i="1"/>
  <c r="AN72" i="1"/>
  <c r="AU72" i="1"/>
  <c r="AV72" i="1"/>
  <c r="CG72" i="1"/>
  <c r="CH72" i="1"/>
  <c r="CI72" i="1"/>
  <c r="CJ72" i="1"/>
  <c r="CK72" i="1"/>
  <c r="CL72" i="1"/>
  <c r="CM72" i="1"/>
  <c r="CN72" i="1"/>
  <c r="CO72" i="1"/>
  <c r="CP72" i="1"/>
  <c r="CQ72" i="1"/>
  <c r="CR72" i="1"/>
  <c r="CS72" i="1"/>
  <c r="CT72" i="1"/>
  <c r="CU72" i="1"/>
  <c r="CV72" i="1"/>
  <c r="CW72" i="1"/>
  <c r="CY72" i="1"/>
  <c r="CZ72" i="1"/>
  <c r="DA72" i="1"/>
  <c r="DB72" i="1"/>
  <c r="DC72" i="1"/>
  <c r="DD72" i="1"/>
  <c r="DE72" i="1"/>
  <c r="DF72" i="1"/>
  <c r="DG72" i="1"/>
  <c r="DI72" i="1"/>
  <c r="DJ72" i="1"/>
  <c r="DM72" i="1"/>
  <c r="DN72" i="1"/>
  <c r="DO72" i="1"/>
  <c r="DP72" i="1"/>
  <c r="DQ72" i="1"/>
  <c r="DR72" i="1"/>
  <c r="DS72" i="1"/>
  <c r="DT72" i="1"/>
  <c r="DU72" i="1"/>
  <c r="DV72" i="1"/>
  <c r="DW72" i="1"/>
  <c r="DX72" i="1"/>
  <c r="DY72" i="1"/>
  <c r="EA72" i="1"/>
  <c r="EB72" i="1"/>
  <c r="EE72" i="1"/>
  <c r="EF72" i="1"/>
  <c r="EG72" i="1"/>
  <c r="EH72" i="1"/>
  <c r="EI72" i="1"/>
  <c r="EJ72" i="1"/>
  <c r="EK72" i="1"/>
  <c r="EL72" i="1"/>
  <c r="EM72" i="1"/>
  <c r="EN72" i="1"/>
  <c r="S73" i="1"/>
  <c r="AF73" i="1"/>
  <c r="AG73" i="1"/>
  <c r="CX73" i="1" s="1"/>
  <c r="AH73" i="1"/>
  <c r="DH73" i="1" s="1"/>
  <c r="AI73" i="1"/>
  <c r="AJ73" i="1"/>
  <c r="AK73" i="1"/>
  <c r="AL73" i="1"/>
  <c r="AN73" i="1"/>
  <c r="AU73" i="1"/>
  <c r="AV73" i="1"/>
  <c r="CG73" i="1"/>
  <c r="CH73" i="1"/>
  <c r="CI73" i="1"/>
  <c r="CJ73" i="1"/>
  <c r="CK73" i="1"/>
  <c r="CL73" i="1"/>
  <c r="CM73" i="1"/>
  <c r="CN73" i="1"/>
  <c r="CO73" i="1"/>
  <c r="CP73" i="1"/>
  <c r="CQ73" i="1"/>
  <c r="CR73" i="1"/>
  <c r="CS73" i="1"/>
  <c r="CT73" i="1"/>
  <c r="CU73" i="1"/>
  <c r="CV73" i="1"/>
  <c r="CW73" i="1"/>
  <c r="CY73" i="1"/>
  <c r="CZ73" i="1"/>
  <c r="DA73" i="1"/>
  <c r="DB73" i="1"/>
  <c r="DC73" i="1"/>
  <c r="DD73" i="1"/>
  <c r="DE73" i="1"/>
  <c r="DF73" i="1"/>
  <c r="DG73" i="1"/>
  <c r="DI73" i="1"/>
  <c r="DJ73" i="1"/>
  <c r="DM73" i="1"/>
  <c r="DN73" i="1"/>
  <c r="DO73" i="1"/>
  <c r="DP73" i="1"/>
  <c r="DQ73" i="1"/>
  <c r="DR73" i="1"/>
  <c r="DS73" i="1"/>
  <c r="DT73" i="1"/>
  <c r="DU73" i="1"/>
  <c r="DV73" i="1"/>
  <c r="DW73" i="1"/>
  <c r="DX73" i="1"/>
  <c r="DY73" i="1"/>
  <c r="EA73" i="1"/>
  <c r="EB73" i="1"/>
  <c r="EE73" i="1"/>
  <c r="EF73" i="1"/>
  <c r="EG73" i="1"/>
  <c r="EH73" i="1"/>
  <c r="EI73" i="1"/>
  <c r="EJ73" i="1"/>
  <c r="EK73" i="1"/>
  <c r="EL73" i="1"/>
  <c r="EM73" i="1"/>
  <c r="EN73" i="1"/>
  <c r="S74" i="1"/>
  <c r="AF74" i="1"/>
  <c r="AG74" i="1"/>
  <c r="AH74" i="1"/>
  <c r="AI74" i="1"/>
  <c r="AJ74" i="1"/>
  <c r="AK74" i="1"/>
  <c r="AL74" i="1"/>
  <c r="AN74" i="1"/>
  <c r="AU74" i="1"/>
  <c r="AV74" i="1"/>
  <c r="EE74" i="1"/>
  <c r="EF74" i="1"/>
  <c r="EG74" i="1"/>
  <c r="EH74" i="1"/>
  <c r="EI74" i="1"/>
  <c r="EJ74" i="1"/>
  <c r="EK74" i="1"/>
  <c r="EL74" i="1"/>
  <c r="EM74" i="1"/>
  <c r="EN74" i="1"/>
  <c r="S75" i="1"/>
  <c r="AF75" i="1"/>
  <c r="AG75" i="1"/>
  <c r="CX75" i="1" s="1"/>
  <c r="AH75" i="1"/>
  <c r="DH75" i="1" s="1"/>
  <c r="AI75" i="1"/>
  <c r="AJ75" i="1"/>
  <c r="AK75" i="1"/>
  <c r="AL75" i="1"/>
  <c r="AN75" i="1"/>
  <c r="AU75" i="1"/>
  <c r="AV75" i="1"/>
  <c r="CG75" i="1"/>
  <c r="CH75" i="1"/>
  <c r="CI75" i="1"/>
  <c r="CL75" i="1"/>
  <c r="CM75" i="1"/>
  <c r="CN75" i="1"/>
  <c r="CO75" i="1"/>
  <c r="CP75" i="1"/>
  <c r="CQ75" i="1"/>
  <c r="CR75" i="1"/>
  <c r="CS75" i="1"/>
  <c r="CT75" i="1"/>
  <c r="CU75" i="1"/>
  <c r="CV75" i="1"/>
  <c r="CW75" i="1"/>
  <c r="CY75" i="1"/>
  <c r="CZ75" i="1"/>
  <c r="DB75" i="1"/>
  <c r="DC75" i="1"/>
  <c r="DD75" i="1"/>
  <c r="DE75" i="1"/>
  <c r="DF75" i="1"/>
  <c r="DG75" i="1"/>
  <c r="DI75" i="1"/>
  <c r="DM75" i="1"/>
  <c r="DN75" i="1"/>
  <c r="DU75" i="1"/>
  <c r="DV75" i="1"/>
  <c r="DW75" i="1"/>
  <c r="DX75" i="1"/>
  <c r="DY75" i="1"/>
  <c r="EA75" i="1"/>
  <c r="EB75" i="1"/>
  <c r="EE75" i="1"/>
  <c r="EF75" i="1"/>
  <c r="EG75" i="1"/>
  <c r="EH75" i="1"/>
  <c r="EI75" i="1"/>
  <c r="EJ75" i="1"/>
  <c r="EK75" i="1"/>
  <c r="EL75" i="1"/>
  <c r="EM75" i="1"/>
  <c r="EN75" i="1"/>
  <c r="S76" i="1"/>
  <c r="AF76" i="1"/>
  <c r="AG76" i="1"/>
  <c r="CX76" i="1" s="1"/>
  <c r="AH76" i="1"/>
  <c r="AI76" i="1"/>
  <c r="AJ76" i="1"/>
  <c r="AK76" i="1"/>
  <c r="AL76" i="1"/>
  <c r="AN76" i="1"/>
  <c r="AU76" i="1"/>
  <c r="AV76" i="1"/>
  <c r="CG76" i="1"/>
  <c r="CH76" i="1"/>
  <c r="CI76" i="1"/>
  <c r="CJ76" i="1"/>
  <c r="CK76" i="1"/>
  <c r="CL76" i="1"/>
  <c r="CM76" i="1"/>
  <c r="CN76" i="1"/>
  <c r="CO76" i="1"/>
  <c r="CP76" i="1"/>
  <c r="CQ76" i="1"/>
  <c r="CR76" i="1"/>
  <c r="CS76" i="1"/>
  <c r="CT76" i="1"/>
  <c r="CU76" i="1"/>
  <c r="CV76" i="1"/>
  <c r="CW76" i="1"/>
  <c r="CY76" i="1"/>
  <c r="CZ76" i="1"/>
  <c r="DA76" i="1"/>
  <c r="DB76" i="1"/>
  <c r="DC76" i="1"/>
  <c r="DF76" i="1"/>
  <c r="DG76" i="1"/>
  <c r="DH76" i="1"/>
  <c r="DI76" i="1"/>
  <c r="DJ76" i="1"/>
  <c r="DM76" i="1"/>
  <c r="DN76" i="1"/>
  <c r="DP76" i="1"/>
  <c r="DQ76" i="1"/>
  <c r="DR76" i="1"/>
  <c r="DS76" i="1"/>
  <c r="DT76" i="1"/>
  <c r="DU76" i="1"/>
  <c r="DW76" i="1"/>
  <c r="DX76" i="1"/>
  <c r="DY76" i="1"/>
  <c r="EB76" i="1"/>
  <c r="EE76" i="1"/>
  <c r="EF76" i="1"/>
  <c r="EG76" i="1"/>
  <c r="EH76" i="1"/>
  <c r="EI76" i="1"/>
  <c r="EJ76" i="1"/>
  <c r="EK76" i="1"/>
  <c r="EL76" i="1"/>
  <c r="EM76" i="1"/>
  <c r="EN76" i="1"/>
  <c r="S77" i="1"/>
  <c r="AF77" i="1"/>
  <c r="AG77" i="1"/>
  <c r="CX77" i="1" s="1"/>
  <c r="AH77" i="1"/>
  <c r="DH77" i="1" s="1"/>
  <c r="AI77" i="1"/>
  <c r="AJ77" i="1"/>
  <c r="AK77" i="1"/>
  <c r="AL77" i="1"/>
  <c r="AN77" i="1"/>
  <c r="AU77" i="1"/>
  <c r="AV77" i="1"/>
  <c r="CG77" i="1"/>
  <c r="CH77" i="1"/>
  <c r="CI77" i="1"/>
  <c r="CJ77" i="1"/>
  <c r="CK77" i="1"/>
  <c r="CL77" i="1"/>
  <c r="CM77" i="1"/>
  <c r="CN77" i="1"/>
  <c r="CO77" i="1"/>
  <c r="CP77" i="1"/>
  <c r="CQ77" i="1"/>
  <c r="CR77" i="1"/>
  <c r="CS77" i="1"/>
  <c r="CT77" i="1"/>
  <c r="CU77" i="1"/>
  <c r="CV77" i="1"/>
  <c r="CW77" i="1"/>
  <c r="CY77" i="1"/>
  <c r="CZ77" i="1"/>
  <c r="DA77" i="1"/>
  <c r="DB77" i="1"/>
  <c r="DC77" i="1"/>
  <c r="DF77" i="1"/>
  <c r="DG77" i="1"/>
  <c r="DI77" i="1"/>
  <c r="DJ77" i="1"/>
  <c r="DM77" i="1"/>
  <c r="DN77" i="1"/>
  <c r="DP77" i="1"/>
  <c r="DQ77" i="1"/>
  <c r="DR77" i="1"/>
  <c r="DS77" i="1"/>
  <c r="DT77" i="1"/>
  <c r="DU77" i="1"/>
  <c r="DW77" i="1"/>
  <c r="DX77" i="1"/>
  <c r="DY77" i="1"/>
  <c r="EB77" i="1"/>
  <c r="EE77" i="1"/>
  <c r="EF77" i="1"/>
  <c r="EG77" i="1"/>
  <c r="EH77" i="1"/>
  <c r="EI77" i="1"/>
  <c r="EJ77" i="1"/>
  <c r="EK77" i="1"/>
  <c r="EL77" i="1"/>
  <c r="EM77" i="1"/>
  <c r="EN77" i="1"/>
  <c r="S78" i="1"/>
  <c r="AF78" i="1"/>
  <c r="AG78" i="1"/>
  <c r="CX78" i="1" s="1"/>
  <c r="AH78" i="1"/>
  <c r="DH78" i="1" s="1"/>
  <c r="AI78" i="1"/>
  <c r="AJ78" i="1"/>
  <c r="AK78" i="1"/>
  <c r="AL78" i="1"/>
  <c r="AN78" i="1"/>
  <c r="AU78" i="1"/>
  <c r="AV78" i="1"/>
  <c r="CG78" i="1"/>
  <c r="CH78" i="1"/>
  <c r="CI78" i="1"/>
  <c r="CJ78" i="1"/>
  <c r="CK78" i="1"/>
  <c r="CL78" i="1"/>
  <c r="CM78" i="1"/>
  <c r="CN78" i="1"/>
  <c r="CO78" i="1"/>
  <c r="CP78" i="1"/>
  <c r="CQ78" i="1"/>
  <c r="CR78" i="1"/>
  <c r="CS78" i="1"/>
  <c r="CT78" i="1"/>
  <c r="CU78" i="1"/>
  <c r="CV78" i="1"/>
  <c r="CW78" i="1"/>
  <c r="CY78" i="1"/>
  <c r="CZ78" i="1"/>
  <c r="DA78" i="1"/>
  <c r="DB78" i="1"/>
  <c r="DC78" i="1"/>
  <c r="DF78" i="1"/>
  <c r="DG78" i="1"/>
  <c r="DI78" i="1"/>
  <c r="DJ78" i="1"/>
  <c r="DM78" i="1"/>
  <c r="DN78" i="1"/>
  <c r="DP78" i="1"/>
  <c r="DQ78" i="1"/>
  <c r="DR78" i="1"/>
  <c r="DS78" i="1"/>
  <c r="DT78" i="1"/>
  <c r="DU78" i="1"/>
  <c r="DW78" i="1"/>
  <c r="DX78" i="1"/>
  <c r="DY78" i="1"/>
  <c r="EB78" i="1"/>
  <c r="EE78" i="1"/>
  <c r="EF78" i="1"/>
  <c r="EG78" i="1"/>
  <c r="AM78" i="1" s="1"/>
  <c r="EH78" i="1"/>
  <c r="EI78" i="1"/>
  <c r="EJ78" i="1"/>
  <c r="EK78" i="1"/>
  <c r="EL78" i="1"/>
  <c r="EM78" i="1"/>
  <c r="EN78" i="1"/>
  <c r="S79" i="1"/>
  <c r="AF79" i="1"/>
  <c r="AG79" i="1"/>
  <c r="CX79" i="1" s="1"/>
  <c r="AH79" i="1"/>
  <c r="DH79" i="1" s="1"/>
  <c r="AJ79" i="1"/>
  <c r="AK79" i="1"/>
  <c r="AL79" i="1"/>
  <c r="AN79" i="1"/>
  <c r="AU79" i="1"/>
  <c r="AV79" i="1"/>
  <c r="CG79" i="1"/>
  <c r="CH79" i="1"/>
  <c r="CI79" i="1"/>
  <c r="CJ79" i="1"/>
  <c r="CK79" i="1"/>
  <c r="CL79" i="1"/>
  <c r="CM79" i="1"/>
  <c r="CN79" i="1"/>
  <c r="CO79" i="1"/>
  <c r="CP79" i="1"/>
  <c r="CQ79" i="1"/>
  <c r="CR79" i="1"/>
  <c r="CS79" i="1"/>
  <c r="CT79" i="1"/>
  <c r="CU79" i="1"/>
  <c r="CV79" i="1"/>
  <c r="CW79" i="1"/>
  <c r="CY79" i="1"/>
  <c r="CZ79" i="1"/>
  <c r="DA79" i="1"/>
  <c r="DB79" i="1"/>
  <c r="DC79" i="1"/>
  <c r="DF79" i="1"/>
  <c r="DG79" i="1"/>
  <c r="DI79" i="1"/>
  <c r="DJ79" i="1"/>
  <c r="DM79" i="1"/>
  <c r="DN79" i="1"/>
  <c r="DP79" i="1"/>
  <c r="DQ79" i="1"/>
  <c r="DR79" i="1"/>
  <c r="DS79" i="1"/>
  <c r="DT79" i="1"/>
  <c r="DU79" i="1"/>
  <c r="DW79" i="1"/>
  <c r="DX79" i="1"/>
  <c r="DY79" i="1"/>
  <c r="EB79" i="1"/>
  <c r="EE79" i="1"/>
  <c r="EF79" i="1"/>
  <c r="EG79" i="1"/>
  <c r="EH79" i="1"/>
  <c r="EI79" i="1"/>
  <c r="EJ79" i="1"/>
  <c r="EK79" i="1"/>
  <c r="DZ79" i="1" s="1"/>
  <c r="EL79" i="1"/>
  <c r="EM79" i="1"/>
  <c r="EN79" i="1"/>
  <c r="S80" i="1"/>
  <c r="AF80" i="1"/>
  <c r="AG80" i="1"/>
  <c r="CX80" i="1" s="1"/>
  <c r="AH80" i="1"/>
  <c r="DH80" i="1" s="1"/>
  <c r="AI80" i="1"/>
  <c r="AJ80" i="1"/>
  <c r="AK80" i="1"/>
  <c r="AL80" i="1"/>
  <c r="AN80" i="1"/>
  <c r="AU80" i="1"/>
  <c r="AV80" i="1"/>
  <c r="CG80" i="1"/>
  <c r="CH80" i="1"/>
  <c r="CI80" i="1"/>
  <c r="CJ80" i="1"/>
  <c r="CK80" i="1"/>
  <c r="CL80" i="1"/>
  <c r="CM80" i="1"/>
  <c r="CN80" i="1"/>
  <c r="CO80" i="1"/>
  <c r="CP80" i="1"/>
  <c r="CQ80" i="1"/>
  <c r="CR80" i="1"/>
  <c r="CS80" i="1"/>
  <c r="CT80" i="1"/>
  <c r="CU80" i="1"/>
  <c r="CV80" i="1"/>
  <c r="CW80" i="1"/>
  <c r="CY80" i="1"/>
  <c r="CZ80" i="1"/>
  <c r="DA80" i="1"/>
  <c r="DB80" i="1"/>
  <c r="DC80" i="1"/>
  <c r="DF80" i="1"/>
  <c r="DG80" i="1"/>
  <c r="DI80" i="1"/>
  <c r="DJ80" i="1"/>
  <c r="DM80" i="1"/>
  <c r="DN80" i="1"/>
  <c r="DP80" i="1"/>
  <c r="DQ80" i="1"/>
  <c r="DR80" i="1"/>
  <c r="DS80" i="1"/>
  <c r="DT80" i="1"/>
  <c r="DU80" i="1"/>
  <c r="DW80" i="1"/>
  <c r="DX80" i="1"/>
  <c r="DY80" i="1"/>
  <c r="EB80" i="1"/>
  <c r="EE80" i="1"/>
  <c r="EF80" i="1"/>
  <c r="EG80" i="1"/>
  <c r="EH80" i="1"/>
  <c r="EI80" i="1"/>
  <c r="EJ80" i="1"/>
  <c r="EK80" i="1"/>
  <c r="DZ80" i="1" s="1"/>
  <c r="EL80" i="1"/>
  <c r="EM80" i="1"/>
  <c r="EN80" i="1"/>
  <c r="S81" i="1"/>
  <c r="AF81" i="1"/>
  <c r="AG81" i="1"/>
  <c r="CX81" i="1" s="1"/>
  <c r="AH81" i="1"/>
  <c r="DH81" i="1" s="1"/>
  <c r="AI81" i="1"/>
  <c r="AJ81" i="1"/>
  <c r="AK81" i="1"/>
  <c r="AL81" i="1"/>
  <c r="AN81" i="1"/>
  <c r="AU81" i="1"/>
  <c r="AV81" i="1"/>
  <c r="CG81" i="1"/>
  <c r="CH81" i="1"/>
  <c r="CI81" i="1"/>
  <c r="CJ81" i="1"/>
  <c r="CK81" i="1"/>
  <c r="CL81" i="1"/>
  <c r="CM81" i="1"/>
  <c r="CN81" i="1"/>
  <c r="CO81" i="1"/>
  <c r="CP81" i="1"/>
  <c r="CQ81" i="1"/>
  <c r="CR81" i="1"/>
  <c r="CS81" i="1"/>
  <c r="CT81" i="1"/>
  <c r="CU81" i="1"/>
  <c r="CV81" i="1"/>
  <c r="CW81" i="1"/>
  <c r="CY81" i="1"/>
  <c r="CZ81" i="1"/>
  <c r="DA81" i="1"/>
  <c r="DB81" i="1"/>
  <c r="DC81" i="1"/>
  <c r="DF81" i="1"/>
  <c r="DG81" i="1"/>
  <c r="DI81" i="1"/>
  <c r="DJ81" i="1"/>
  <c r="DM81" i="1"/>
  <c r="DN81" i="1"/>
  <c r="DP81" i="1"/>
  <c r="DQ81" i="1"/>
  <c r="DR81" i="1"/>
  <c r="DS81" i="1"/>
  <c r="DT81" i="1"/>
  <c r="DU81" i="1"/>
  <c r="DW81" i="1"/>
  <c r="DX81" i="1"/>
  <c r="DY81" i="1"/>
  <c r="EB81" i="1"/>
  <c r="EE81" i="1"/>
  <c r="EF81" i="1"/>
  <c r="EG81" i="1"/>
  <c r="EH81" i="1"/>
  <c r="EI81" i="1"/>
  <c r="EJ81" i="1"/>
  <c r="EK81" i="1"/>
  <c r="DZ81" i="1" s="1"/>
  <c r="EL81" i="1"/>
  <c r="EM81" i="1"/>
  <c r="EN81" i="1"/>
  <c r="S82" i="1"/>
  <c r="AF82" i="1"/>
  <c r="AG82" i="1"/>
  <c r="CX82" i="1" s="1"/>
  <c r="AH82" i="1"/>
  <c r="DH82" i="1" s="1"/>
  <c r="AI82" i="1"/>
  <c r="AJ82" i="1"/>
  <c r="AK82" i="1"/>
  <c r="AL82" i="1"/>
  <c r="AN82" i="1"/>
  <c r="AU82" i="1"/>
  <c r="AV82" i="1"/>
  <c r="CG82" i="1"/>
  <c r="CH82" i="1"/>
  <c r="CI82" i="1"/>
  <c r="CJ82" i="1"/>
  <c r="CK82" i="1"/>
  <c r="CL82" i="1"/>
  <c r="CM82" i="1"/>
  <c r="CN82" i="1"/>
  <c r="CO82" i="1"/>
  <c r="CP82" i="1"/>
  <c r="CQ82" i="1"/>
  <c r="CR82" i="1"/>
  <c r="CS82" i="1"/>
  <c r="CT82" i="1"/>
  <c r="CU82" i="1"/>
  <c r="CV82" i="1"/>
  <c r="CW82" i="1"/>
  <c r="CY82" i="1"/>
  <c r="CZ82" i="1"/>
  <c r="DA82" i="1"/>
  <c r="DB82" i="1"/>
  <c r="DC82" i="1"/>
  <c r="DF82" i="1"/>
  <c r="DG82" i="1"/>
  <c r="DI82" i="1"/>
  <c r="DJ82" i="1"/>
  <c r="DM82" i="1"/>
  <c r="DN82" i="1"/>
  <c r="DP82" i="1"/>
  <c r="DQ82" i="1"/>
  <c r="DR82" i="1"/>
  <c r="DS82" i="1"/>
  <c r="DT82" i="1"/>
  <c r="DU82" i="1"/>
  <c r="DW82" i="1"/>
  <c r="DX82" i="1"/>
  <c r="DY82" i="1"/>
  <c r="EB82" i="1"/>
  <c r="EE82" i="1"/>
  <c r="EF82" i="1"/>
  <c r="EG82" i="1"/>
  <c r="EH82" i="1"/>
  <c r="EI82" i="1"/>
  <c r="EJ82" i="1"/>
  <c r="EK82" i="1"/>
  <c r="EL82" i="1"/>
  <c r="EM82" i="1"/>
  <c r="EN82" i="1"/>
  <c r="S83" i="1"/>
  <c r="AF83" i="1"/>
  <c r="AG83" i="1"/>
  <c r="CX83" i="1" s="1"/>
  <c r="AH83" i="1"/>
  <c r="DH83" i="1" s="1"/>
  <c r="AI83" i="1"/>
  <c r="AJ83" i="1"/>
  <c r="AK83" i="1"/>
  <c r="AL83" i="1"/>
  <c r="AN83" i="1"/>
  <c r="AU83" i="1"/>
  <c r="AV83" i="1"/>
  <c r="CG83" i="1"/>
  <c r="CH83" i="1"/>
  <c r="CI83" i="1"/>
  <c r="CJ83" i="1"/>
  <c r="CK83" i="1"/>
  <c r="CL83" i="1"/>
  <c r="CM83" i="1"/>
  <c r="CN83" i="1"/>
  <c r="CO83" i="1"/>
  <c r="CP83" i="1"/>
  <c r="CQ83" i="1"/>
  <c r="CR83" i="1"/>
  <c r="CS83" i="1"/>
  <c r="CT83" i="1"/>
  <c r="CU83" i="1"/>
  <c r="CV83" i="1"/>
  <c r="CW83" i="1"/>
  <c r="CY83" i="1"/>
  <c r="CZ83" i="1"/>
  <c r="DA83" i="1"/>
  <c r="DB83" i="1"/>
  <c r="DC83" i="1"/>
  <c r="DF83" i="1"/>
  <c r="DG83" i="1"/>
  <c r="DI83" i="1"/>
  <c r="DJ83" i="1"/>
  <c r="DM83" i="1"/>
  <c r="DN83" i="1"/>
  <c r="DP83" i="1"/>
  <c r="DQ83" i="1"/>
  <c r="DR83" i="1"/>
  <c r="DS83" i="1"/>
  <c r="DT83" i="1"/>
  <c r="DU83" i="1"/>
  <c r="DW83" i="1"/>
  <c r="DX83" i="1"/>
  <c r="DY83" i="1"/>
  <c r="EB83" i="1"/>
  <c r="EE83" i="1"/>
  <c r="EF83" i="1"/>
  <c r="EG83" i="1"/>
  <c r="EH83" i="1"/>
  <c r="EI83" i="1"/>
  <c r="EJ83" i="1"/>
  <c r="EK83" i="1"/>
  <c r="EL83" i="1"/>
  <c r="EM83" i="1"/>
  <c r="EN83" i="1"/>
  <c r="S84" i="1"/>
  <c r="AF84" i="1"/>
  <c r="AG84" i="1"/>
  <c r="AH84" i="1"/>
  <c r="AI84" i="1"/>
  <c r="AJ84" i="1"/>
  <c r="AK84" i="1"/>
  <c r="AL84" i="1"/>
  <c r="AN84" i="1"/>
  <c r="AU84" i="1"/>
  <c r="AV84" i="1"/>
  <c r="EE84" i="1"/>
  <c r="EF84" i="1"/>
  <c r="EG84" i="1"/>
  <c r="EH84" i="1"/>
  <c r="EI84" i="1"/>
  <c r="EJ84" i="1"/>
  <c r="EK84" i="1"/>
  <c r="EL84" i="1"/>
  <c r="EM84" i="1"/>
  <c r="EN84" i="1"/>
  <c r="S85" i="1"/>
  <c r="AF85" i="1"/>
  <c r="AG85" i="1"/>
  <c r="AH85" i="1"/>
  <c r="DH85" i="1" s="1"/>
  <c r="AI85" i="1"/>
  <c r="AJ85" i="1"/>
  <c r="AK85" i="1"/>
  <c r="AL85" i="1"/>
  <c r="AN85" i="1"/>
  <c r="AU85" i="1"/>
  <c r="AV85" i="1"/>
  <c r="CG85" i="1"/>
  <c r="CV85" i="1"/>
  <c r="EE85" i="1"/>
  <c r="EF85" i="1"/>
  <c r="EG85" i="1"/>
  <c r="EH85" i="1"/>
  <c r="EI85" i="1"/>
  <c r="EJ85" i="1"/>
  <c r="EK85" i="1"/>
  <c r="EL85" i="1"/>
  <c r="EM85" i="1"/>
  <c r="EN85" i="1"/>
  <c r="S86" i="1"/>
  <c r="AF86" i="1"/>
  <c r="AG86" i="1"/>
  <c r="AH86" i="1"/>
  <c r="DH86" i="1" s="1"/>
  <c r="AI86" i="1"/>
  <c r="AJ86" i="1"/>
  <c r="AK86" i="1"/>
  <c r="AL86" i="1"/>
  <c r="AN86" i="1"/>
  <c r="AU86" i="1"/>
  <c r="AV86" i="1"/>
  <c r="CG86" i="1"/>
  <c r="CV86" i="1"/>
  <c r="DT86" i="1"/>
  <c r="EE86" i="1"/>
  <c r="EF86" i="1"/>
  <c r="EG86" i="1"/>
  <c r="EH86" i="1"/>
  <c r="EI86" i="1"/>
  <c r="EJ86" i="1"/>
  <c r="EK86" i="1"/>
  <c r="EL86" i="1"/>
  <c r="EM86" i="1"/>
  <c r="EN86" i="1"/>
  <c r="S87" i="1"/>
  <c r="AF87" i="1"/>
  <c r="AG87" i="1"/>
  <c r="AH87" i="1"/>
  <c r="DH87" i="1" s="1"/>
  <c r="AI87" i="1"/>
  <c r="AJ87" i="1"/>
  <c r="AK87" i="1"/>
  <c r="AL87" i="1"/>
  <c r="AN87" i="1"/>
  <c r="AU87" i="1"/>
  <c r="AV87" i="1"/>
  <c r="CG87" i="1"/>
  <c r="CV87" i="1"/>
  <c r="DT87" i="1"/>
  <c r="EE87" i="1"/>
  <c r="EF87" i="1"/>
  <c r="EG87" i="1"/>
  <c r="EH87" i="1"/>
  <c r="EI87" i="1"/>
  <c r="EJ87" i="1"/>
  <c r="EK87" i="1"/>
  <c r="EL87" i="1"/>
  <c r="EM87" i="1"/>
  <c r="EN87" i="1"/>
  <c r="S88" i="1"/>
  <c r="AF88" i="1"/>
  <c r="AG88" i="1"/>
  <c r="AH88" i="1"/>
  <c r="DH88" i="1" s="1"/>
  <c r="AI88" i="1"/>
  <c r="AJ88" i="1"/>
  <c r="AK88" i="1"/>
  <c r="AL88" i="1"/>
  <c r="AN88" i="1"/>
  <c r="AU88" i="1"/>
  <c r="AV88" i="1"/>
  <c r="CG88" i="1"/>
  <c r="CV88" i="1"/>
  <c r="DT88" i="1"/>
  <c r="EE88" i="1"/>
  <c r="EF88" i="1"/>
  <c r="EG88" i="1"/>
  <c r="EH88" i="1"/>
  <c r="EI88" i="1"/>
  <c r="EJ88" i="1"/>
  <c r="EK88" i="1"/>
  <c r="DZ88" i="1" s="1"/>
  <c r="EL88" i="1"/>
  <c r="EM88" i="1"/>
  <c r="EN88" i="1"/>
  <c r="S89" i="1"/>
  <c r="AF89" i="1"/>
  <c r="AG89" i="1"/>
  <c r="AH89" i="1"/>
  <c r="DH89" i="1" s="1"/>
  <c r="AI89" i="1"/>
  <c r="AJ89" i="1"/>
  <c r="AK89" i="1"/>
  <c r="AL89" i="1"/>
  <c r="AN89" i="1"/>
  <c r="AU89" i="1"/>
  <c r="AV89" i="1"/>
  <c r="CG89" i="1"/>
  <c r="CV89" i="1"/>
  <c r="DT89" i="1"/>
  <c r="EE89" i="1"/>
  <c r="EF89" i="1"/>
  <c r="EG89" i="1"/>
  <c r="EH89" i="1"/>
  <c r="EI89" i="1"/>
  <c r="EJ89" i="1"/>
  <c r="EK89" i="1"/>
  <c r="EL89" i="1"/>
  <c r="EM89" i="1"/>
  <c r="EN89" i="1"/>
  <c r="S90" i="1"/>
  <c r="AF90" i="1"/>
  <c r="AG90" i="1"/>
  <c r="CX90" i="1" s="1"/>
  <c r="AH90" i="1"/>
  <c r="DH90" i="1" s="1"/>
  <c r="AI90" i="1"/>
  <c r="AJ90" i="1"/>
  <c r="AK90" i="1"/>
  <c r="AL90" i="1"/>
  <c r="AN90" i="1"/>
  <c r="AU90" i="1"/>
  <c r="AV90" i="1"/>
  <c r="CG90" i="1"/>
  <c r="CH90" i="1"/>
  <c r="CK90" i="1"/>
  <c r="CL90" i="1"/>
  <c r="CN90" i="1"/>
  <c r="CS90" i="1"/>
  <c r="CT90" i="1"/>
  <c r="CU90" i="1"/>
  <c r="CV90" i="1"/>
  <c r="CW90" i="1"/>
  <c r="DA90" i="1"/>
  <c r="DB90" i="1"/>
  <c r="DC90" i="1"/>
  <c r="DD90" i="1"/>
  <c r="DE90" i="1"/>
  <c r="DF90" i="1"/>
  <c r="DJ90" i="1"/>
  <c r="DM90" i="1"/>
  <c r="DN90" i="1"/>
  <c r="DP90" i="1"/>
  <c r="DT90" i="1"/>
  <c r="DV90" i="1"/>
  <c r="DX90" i="1"/>
  <c r="DY90" i="1"/>
  <c r="EB90" i="1"/>
  <c r="EE90" i="1"/>
  <c r="EF90" i="1"/>
  <c r="EG90" i="1"/>
  <c r="EH90" i="1"/>
  <c r="EI90" i="1"/>
  <c r="EJ90" i="1"/>
  <c r="EK90" i="1"/>
  <c r="DZ90" i="1" s="1"/>
  <c r="EL90" i="1"/>
  <c r="EM90" i="1"/>
  <c r="EN90" i="1"/>
  <c r="S91" i="1"/>
  <c r="AF91" i="1"/>
  <c r="AG91" i="1"/>
  <c r="CX91" i="1" s="1"/>
  <c r="AH91" i="1"/>
  <c r="DH91" i="1" s="1"/>
  <c r="AI91" i="1"/>
  <c r="AJ91" i="1"/>
  <c r="AK91" i="1"/>
  <c r="AL91" i="1"/>
  <c r="AN91" i="1"/>
  <c r="AU91" i="1"/>
  <c r="AV91" i="1"/>
  <c r="CG91" i="1"/>
  <c r="CH91" i="1"/>
  <c r="CK91" i="1"/>
  <c r="CL91" i="1"/>
  <c r="CN91" i="1"/>
  <c r="CS91" i="1"/>
  <c r="CT91" i="1"/>
  <c r="CU91" i="1"/>
  <c r="CV91" i="1"/>
  <c r="CW91" i="1"/>
  <c r="DA91" i="1"/>
  <c r="DB91" i="1"/>
  <c r="DC91" i="1"/>
  <c r="DD91" i="1"/>
  <c r="DE91" i="1"/>
  <c r="DF91" i="1"/>
  <c r="DJ91" i="1"/>
  <c r="DM91" i="1"/>
  <c r="DN91" i="1"/>
  <c r="DP91" i="1"/>
  <c r="DT91" i="1"/>
  <c r="DV91" i="1"/>
  <c r="DX91" i="1"/>
  <c r="DY91" i="1"/>
  <c r="EB91" i="1"/>
  <c r="EE91" i="1"/>
  <c r="EF91" i="1"/>
  <c r="EG91" i="1"/>
  <c r="EH91" i="1"/>
  <c r="EI91" i="1"/>
  <c r="EJ91" i="1"/>
  <c r="EK91" i="1"/>
  <c r="EL91" i="1"/>
  <c r="EM91" i="1"/>
  <c r="EN91" i="1"/>
  <c r="DB92" i="1"/>
  <c r="DT92" i="1"/>
  <c r="DX92" i="1"/>
  <c r="EB92" i="1"/>
  <c r="CG93" i="1"/>
  <c r="CH93" i="1"/>
  <c r="CK93" i="1"/>
  <c r="CL93" i="1"/>
  <c r="CN93" i="1"/>
  <c r="CS93" i="1"/>
  <c r="CT93" i="1"/>
  <c r="CW93" i="1"/>
  <c r="DA93" i="1"/>
  <c r="DB93" i="1"/>
  <c r="DD93" i="1"/>
  <c r="DE93" i="1"/>
  <c r="DF93" i="1"/>
  <c r="DJ93" i="1"/>
  <c r="DM93" i="1"/>
  <c r="DN93" i="1"/>
  <c r="DP93" i="1"/>
  <c r="DT93" i="1"/>
  <c r="DV93" i="1"/>
  <c r="DX93" i="1"/>
  <c r="DY93" i="1"/>
  <c r="EB93" i="1"/>
  <c r="CG94" i="1"/>
  <c r="CH94" i="1"/>
  <c r="CK94" i="1"/>
  <c r="CL94" i="1"/>
  <c r="CN94" i="1"/>
  <c r="CS94" i="1"/>
  <c r="CT94" i="1"/>
  <c r="CW94" i="1"/>
  <c r="DA94" i="1"/>
  <c r="DB94" i="1"/>
  <c r="DD94" i="1"/>
  <c r="DE94" i="1"/>
  <c r="DF94" i="1"/>
  <c r="DJ94" i="1"/>
  <c r="DM94" i="1"/>
  <c r="DN94" i="1"/>
  <c r="DP94" i="1"/>
  <c r="DT94" i="1"/>
  <c r="DV94" i="1"/>
  <c r="DX94" i="1"/>
  <c r="DY94" i="1"/>
  <c r="EB94" i="1"/>
  <c r="CN95" i="1"/>
  <c r="DB95" i="1"/>
  <c r="DT95" i="1"/>
  <c r="DX95" i="1"/>
  <c r="EB95" i="1"/>
  <c r="CG96" i="1"/>
  <c r="CH96" i="1"/>
  <c r="CK96" i="1"/>
  <c r="CL96" i="1"/>
  <c r="CM96" i="1"/>
  <c r="CN96" i="1"/>
  <c r="CS96" i="1"/>
  <c r="CT96" i="1"/>
  <c r="CW96" i="1"/>
  <c r="DA96" i="1"/>
  <c r="DB96" i="1"/>
  <c r="DD96" i="1"/>
  <c r="DE96" i="1"/>
  <c r="DF96" i="1"/>
  <c r="DJ96" i="1"/>
  <c r="DM96" i="1"/>
  <c r="DN96" i="1"/>
  <c r="DP96" i="1"/>
  <c r="DR96" i="1"/>
  <c r="DS96" i="1"/>
  <c r="DT96" i="1"/>
  <c r="DV96" i="1"/>
  <c r="DX96" i="1"/>
  <c r="DY96" i="1"/>
  <c r="EB96" i="1"/>
  <c r="CG97" i="1"/>
  <c r="CH97" i="1"/>
  <c r="CK97" i="1"/>
  <c r="CL97" i="1"/>
  <c r="CM97" i="1"/>
  <c r="CN97" i="1"/>
  <c r="CS97" i="1"/>
  <c r="CT97" i="1"/>
  <c r="CW97" i="1"/>
  <c r="DA97" i="1"/>
  <c r="DB97" i="1"/>
  <c r="DD97" i="1"/>
  <c r="DE97" i="1"/>
  <c r="DF97" i="1"/>
  <c r="DJ97" i="1"/>
  <c r="DM97" i="1"/>
  <c r="DN97" i="1"/>
  <c r="DP97" i="1"/>
  <c r="DR97" i="1"/>
  <c r="DS97" i="1"/>
  <c r="DT97" i="1"/>
  <c r="DV97" i="1"/>
  <c r="DX97" i="1"/>
  <c r="DY97" i="1"/>
  <c r="EB97" i="1"/>
  <c r="DB98" i="1"/>
  <c r="DT98" i="1"/>
  <c r="DX98" i="1"/>
  <c r="EB98" i="1"/>
  <c r="S99" i="1"/>
  <c r="AF99" i="1"/>
  <c r="AG99" i="1"/>
  <c r="AH99" i="1"/>
  <c r="AI99" i="1"/>
  <c r="AJ99" i="1"/>
  <c r="AK99" i="1"/>
  <c r="AL99" i="1"/>
  <c r="AN99" i="1"/>
  <c r="AU99" i="1"/>
  <c r="AV99" i="1"/>
  <c r="DT99" i="1"/>
  <c r="EE99" i="1"/>
  <c r="EF99" i="1"/>
  <c r="EG99" i="1"/>
  <c r="EH99" i="1"/>
  <c r="EI99" i="1"/>
  <c r="EJ99" i="1"/>
  <c r="EK99" i="1"/>
  <c r="EL99" i="1"/>
  <c r="EM99" i="1"/>
  <c r="EN99" i="1"/>
  <c r="S100" i="1"/>
  <c r="AF100" i="1"/>
  <c r="AG100" i="1"/>
  <c r="AH100" i="1"/>
  <c r="AI100" i="1"/>
  <c r="AJ100" i="1"/>
  <c r="AK100" i="1"/>
  <c r="AL100" i="1"/>
  <c r="AN100" i="1"/>
  <c r="AU100" i="1"/>
  <c r="AV100" i="1"/>
  <c r="DT100" i="1"/>
  <c r="EE100" i="1"/>
  <c r="EF100" i="1"/>
  <c r="EG100" i="1"/>
  <c r="EH100" i="1"/>
  <c r="EI100" i="1"/>
  <c r="EJ100" i="1"/>
  <c r="EK100" i="1"/>
  <c r="DZ100" i="1" s="1"/>
  <c r="EL100" i="1"/>
  <c r="EM100" i="1"/>
  <c r="EN100" i="1"/>
  <c r="S101" i="1"/>
  <c r="AF101" i="1"/>
  <c r="AG101" i="1"/>
  <c r="AH101" i="1"/>
  <c r="AI101" i="1"/>
  <c r="AJ101" i="1"/>
  <c r="AK101" i="1"/>
  <c r="AL101" i="1"/>
  <c r="AN101" i="1"/>
  <c r="AU101" i="1"/>
  <c r="AV101" i="1"/>
  <c r="DT101" i="1"/>
  <c r="EE101" i="1"/>
  <c r="EF101" i="1"/>
  <c r="EG101" i="1"/>
  <c r="EH101" i="1"/>
  <c r="EI101" i="1"/>
  <c r="EJ101" i="1"/>
  <c r="EK101" i="1"/>
  <c r="DZ101" i="1" s="1"/>
  <c r="EL101" i="1"/>
  <c r="EM101" i="1"/>
  <c r="EN101" i="1"/>
  <c r="S102" i="1"/>
  <c r="AF102" i="1"/>
  <c r="AG102" i="1"/>
  <c r="AH102" i="1"/>
  <c r="DH102" i="1" s="1"/>
  <c r="AI102" i="1"/>
  <c r="AJ102" i="1"/>
  <c r="AK102" i="1"/>
  <c r="AL102" i="1"/>
  <c r="AN102" i="1"/>
  <c r="AU102" i="1"/>
  <c r="AV102" i="1"/>
  <c r="CG102" i="1"/>
  <c r="CV102" i="1"/>
  <c r="DT102" i="1"/>
  <c r="EE102" i="1"/>
  <c r="EF102" i="1"/>
  <c r="EG102" i="1"/>
  <c r="EH102" i="1"/>
  <c r="EI102" i="1"/>
  <c r="EJ102" i="1"/>
  <c r="EK102" i="1"/>
  <c r="EL102" i="1"/>
  <c r="EM102" i="1"/>
  <c r="EN102" i="1"/>
  <c r="S103" i="1"/>
  <c r="AF103" i="1"/>
  <c r="AG103" i="1"/>
  <c r="AH103" i="1"/>
  <c r="AI103" i="1"/>
  <c r="AJ103" i="1"/>
  <c r="AK103" i="1"/>
  <c r="AL103" i="1"/>
  <c r="AN103" i="1"/>
  <c r="AU103" i="1"/>
  <c r="AV103" i="1"/>
  <c r="DT103" i="1"/>
  <c r="EE103" i="1"/>
  <c r="EF103" i="1"/>
  <c r="EG103" i="1"/>
  <c r="EH103" i="1"/>
  <c r="EI103" i="1"/>
  <c r="EJ103" i="1"/>
  <c r="EK103" i="1"/>
  <c r="DZ103" i="1" s="1"/>
  <c r="EL103" i="1"/>
  <c r="EM103" i="1"/>
  <c r="EN103" i="1"/>
  <c r="S104" i="1"/>
  <c r="AF104" i="1"/>
  <c r="AG104" i="1"/>
  <c r="AH104" i="1"/>
  <c r="DH104" i="1" s="1"/>
  <c r="AI104" i="1"/>
  <c r="AJ104" i="1"/>
  <c r="AK104" i="1"/>
  <c r="AL104" i="1"/>
  <c r="AN104" i="1"/>
  <c r="AU104" i="1"/>
  <c r="AV104" i="1"/>
  <c r="CG104" i="1"/>
  <c r="CV104" i="1"/>
  <c r="DT104" i="1"/>
  <c r="EE104" i="1"/>
  <c r="EF104" i="1"/>
  <c r="EG104" i="1"/>
  <c r="EH104" i="1"/>
  <c r="EI104" i="1"/>
  <c r="EJ104" i="1"/>
  <c r="EK104" i="1"/>
  <c r="DZ104" i="1" s="1"/>
  <c r="EL104" i="1"/>
  <c r="EM104" i="1"/>
  <c r="EN104" i="1"/>
  <c r="DB105" i="1"/>
  <c r="DT105" i="1"/>
  <c r="DX105" i="1"/>
  <c r="DB106" i="1"/>
  <c r="DT106" i="1"/>
  <c r="DX106" i="1"/>
  <c r="DB107" i="1"/>
  <c r="DT107" i="1"/>
  <c r="DX107" i="1"/>
  <c r="DB108" i="1"/>
  <c r="DT108" i="1"/>
  <c r="DX108" i="1"/>
  <c r="S109" i="1"/>
  <c r="AF109" i="1"/>
  <c r="AG109" i="1"/>
  <c r="AH109" i="1"/>
  <c r="DH109" i="1" s="1"/>
  <c r="AI109" i="1"/>
  <c r="AJ109" i="1"/>
  <c r="AK109" i="1"/>
  <c r="AL109" i="1"/>
  <c r="AN109" i="1"/>
  <c r="AU109" i="1"/>
  <c r="AV109" i="1"/>
  <c r="CG109" i="1"/>
  <c r="CV109" i="1"/>
  <c r="DT109" i="1"/>
  <c r="EE109" i="1"/>
  <c r="EF109" i="1"/>
  <c r="EG109" i="1"/>
  <c r="EH109" i="1"/>
  <c r="EI109" i="1"/>
  <c r="EJ109" i="1"/>
  <c r="EK109" i="1"/>
  <c r="DZ109" i="1" s="1"/>
  <c r="EL109" i="1"/>
  <c r="EM109" i="1"/>
  <c r="EN109" i="1"/>
  <c r="DB110" i="1"/>
  <c r="DT110" i="1"/>
  <c r="DX110" i="1"/>
  <c r="CG111" i="1"/>
  <c r="CH111" i="1"/>
  <c r="CK111" i="1"/>
  <c r="CL111" i="1"/>
  <c r="CM111" i="1"/>
  <c r="CS111" i="1"/>
  <c r="CT111" i="1"/>
  <c r="CW111" i="1"/>
  <c r="DA111" i="1"/>
  <c r="DB111" i="1"/>
  <c r="DD111" i="1"/>
  <c r="DE111" i="1"/>
  <c r="DF111" i="1"/>
  <c r="DJ111" i="1"/>
  <c r="DM111" i="1"/>
  <c r="DN111" i="1"/>
  <c r="DP111" i="1"/>
  <c r="DR111" i="1"/>
  <c r="DS111" i="1"/>
  <c r="DT111" i="1"/>
  <c r="DV111" i="1"/>
  <c r="DX111" i="1"/>
  <c r="DY111" i="1"/>
  <c r="EB111" i="1"/>
  <c r="DB112" i="1"/>
  <c r="DT112" i="1"/>
  <c r="DX112" i="1"/>
  <c r="S113" i="1"/>
  <c r="AF113" i="1"/>
  <c r="AG113" i="1"/>
  <c r="CX113" i="1" s="1"/>
  <c r="AH113" i="1"/>
  <c r="DH113" i="1" s="1"/>
  <c r="AI113" i="1"/>
  <c r="AJ113" i="1"/>
  <c r="AK113" i="1"/>
  <c r="AL113" i="1"/>
  <c r="AN113" i="1"/>
  <c r="AU113" i="1"/>
  <c r="AV113" i="1"/>
  <c r="CG113" i="1"/>
  <c r="CH113" i="1"/>
  <c r="CI113" i="1"/>
  <c r="CJ113" i="1"/>
  <c r="CK113" i="1"/>
  <c r="CL113" i="1"/>
  <c r="CM113" i="1"/>
  <c r="CN113" i="1"/>
  <c r="CO113" i="1"/>
  <c r="CP113" i="1"/>
  <c r="CQ113" i="1"/>
  <c r="CR113" i="1"/>
  <c r="CS113" i="1"/>
  <c r="CT113" i="1"/>
  <c r="CU113" i="1"/>
  <c r="CV113" i="1"/>
  <c r="CW113" i="1"/>
  <c r="CY113" i="1"/>
  <c r="CZ113" i="1"/>
  <c r="DA113" i="1"/>
  <c r="DB113" i="1"/>
  <c r="DC113" i="1"/>
  <c r="DD113" i="1"/>
  <c r="DE113" i="1"/>
  <c r="DF113" i="1"/>
  <c r="DG113" i="1"/>
  <c r="DI113" i="1"/>
  <c r="DJ113" i="1"/>
  <c r="DM113" i="1"/>
  <c r="DN113" i="1"/>
  <c r="DO113" i="1"/>
  <c r="DP113" i="1"/>
  <c r="DQ113" i="1"/>
  <c r="DR113" i="1"/>
  <c r="DS113" i="1"/>
  <c r="DT113" i="1"/>
  <c r="DU113" i="1"/>
  <c r="DV113" i="1"/>
  <c r="DW113" i="1"/>
  <c r="DX113" i="1"/>
  <c r="DY113" i="1"/>
  <c r="EB113" i="1"/>
  <c r="EE113" i="1"/>
  <c r="EF113" i="1"/>
  <c r="EG113" i="1"/>
  <c r="EH113" i="1"/>
  <c r="EI113" i="1"/>
  <c r="EJ113" i="1"/>
  <c r="EK113" i="1"/>
  <c r="EL113" i="1"/>
  <c r="EM113" i="1"/>
  <c r="EN113" i="1"/>
  <c r="S114" i="1"/>
  <c r="AF114" i="1"/>
  <c r="AG114" i="1"/>
  <c r="CX114" i="1" s="1"/>
  <c r="AH114" i="1"/>
  <c r="DH114" i="1" s="1"/>
  <c r="AI114" i="1"/>
  <c r="AJ114" i="1"/>
  <c r="AK114" i="1"/>
  <c r="AL114" i="1"/>
  <c r="AN114" i="1"/>
  <c r="AU114" i="1"/>
  <c r="AV114" i="1"/>
  <c r="CG114" i="1"/>
  <c r="CH114" i="1"/>
  <c r="CI114" i="1"/>
  <c r="CJ114" i="1"/>
  <c r="CK114" i="1"/>
  <c r="CL114" i="1"/>
  <c r="CM114" i="1"/>
  <c r="CN114" i="1"/>
  <c r="CO114" i="1"/>
  <c r="CP114" i="1"/>
  <c r="CQ114" i="1"/>
  <c r="CR114" i="1"/>
  <c r="CS114" i="1"/>
  <c r="CT114" i="1"/>
  <c r="CU114" i="1"/>
  <c r="CV114" i="1"/>
  <c r="CW114" i="1"/>
  <c r="CY114" i="1"/>
  <c r="CZ114" i="1"/>
  <c r="DA114" i="1"/>
  <c r="DB114" i="1"/>
  <c r="DC114" i="1"/>
  <c r="DD114" i="1"/>
  <c r="DE114" i="1"/>
  <c r="DF114" i="1"/>
  <c r="DG114" i="1"/>
  <c r="DI114" i="1"/>
  <c r="DJ114" i="1"/>
  <c r="DM114" i="1"/>
  <c r="DN114" i="1"/>
  <c r="DO114" i="1"/>
  <c r="DP114" i="1"/>
  <c r="DQ114" i="1"/>
  <c r="DR114" i="1"/>
  <c r="DS114" i="1"/>
  <c r="DT114" i="1"/>
  <c r="DU114" i="1"/>
  <c r="DV114" i="1"/>
  <c r="DW114" i="1"/>
  <c r="DX114" i="1"/>
  <c r="DY114" i="1"/>
  <c r="EA114" i="1"/>
  <c r="EB114" i="1"/>
  <c r="EE114" i="1"/>
  <c r="EF114" i="1"/>
  <c r="EG114" i="1"/>
  <c r="EH114" i="1"/>
  <c r="EI114" i="1"/>
  <c r="EJ114" i="1"/>
  <c r="EK114" i="1"/>
  <c r="EL114" i="1"/>
  <c r="EM114" i="1"/>
  <c r="EN114" i="1"/>
  <c r="S115" i="1"/>
  <c r="AF115" i="1"/>
  <c r="AG115" i="1"/>
  <c r="CX115" i="1" s="1"/>
  <c r="AH115" i="1"/>
  <c r="DH115" i="1" s="1"/>
  <c r="AI115" i="1"/>
  <c r="AJ115" i="1"/>
  <c r="AK115" i="1"/>
  <c r="AL115" i="1"/>
  <c r="AN115" i="1"/>
  <c r="AU115" i="1"/>
  <c r="AV115" i="1"/>
  <c r="CG115" i="1"/>
  <c r="CH115" i="1"/>
  <c r="CI115" i="1"/>
  <c r="CJ115" i="1"/>
  <c r="CK115" i="1"/>
  <c r="CL115" i="1"/>
  <c r="CM115" i="1"/>
  <c r="CN115" i="1"/>
  <c r="CO115" i="1"/>
  <c r="CP115" i="1"/>
  <c r="CQ115" i="1"/>
  <c r="CR115" i="1"/>
  <c r="CS115" i="1"/>
  <c r="CT115" i="1"/>
  <c r="CU115" i="1"/>
  <c r="CV115" i="1"/>
  <c r="CW115" i="1"/>
  <c r="CZ115" i="1"/>
  <c r="DA115" i="1"/>
  <c r="DB115" i="1"/>
  <c r="DC115" i="1"/>
  <c r="DD115" i="1"/>
  <c r="DE115" i="1"/>
  <c r="DF115" i="1"/>
  <c r="DG115" i="1"/>
  <c r="DI115" i="1"/>
  <c r="DJ115" i="1"/>
  <c r="DM115" i="1"/>
  <c r="DN115" i="1"/>
  <c r="DO115" i="1"/>
  <c r="DP115" i="1"/>
  <c r="DQ115" i="1"/>
  <c r="DR115" i="1"/>
  <c r="DS115" i="1"/>
  <c r="DT115" i="1"/>
  <c r="DU115" i="1"/>
  <c r="DV115" i="1"/>
  <c r="DW115" i="1"/>
  <c r="DX115" i="1"/>
  <c r="DY115" i="1"/>
  <c r="EA115" i="1"/>
  <c r="EB115" i="1"/>
  <c r="EE115" i="1"/>
  <c r="EF115" i="1"/>
  <c r="EG115" i="1"/>
  <c r="EH115" i="1"/>
  <c r="EI115" i="1"/>
  <c r="EJ115" i="1"/>
  <c r="EK115" i="1"/>
  <c r="DZ115" i="1" s="1"/>
  <c r="EL115" i="1"/>
  <c r="EM115" i="1"/>
  <c r="EN115" i="1"/>
  <c r="S116" i="1"/>
  <c r="AF116" i="1"/>
  <c r="AG116" i="1"/>
  <c r="CX116" i="1" s="1"/>
  <c r="AH116" i="1"/>
  <c r="DH116" i="1" s="1"/>
  <c r="AI116" i="1"/>
  <c r="AJ116" i="1"/>
  <c r="AK116" i="1"/>
  <c r="AL116" i="1"/>
  <c r="AN116" i="1"/>
  <c r="AU116" i="1"/>
  <c r="AV116" i="1"/>
  <c r="CG116" i="1"/>
  <c r="CH116" i="1"/>
  <c r="CI116" i="1"/>
  <c r="CJ116" i="1"/>
  <c r="CK116" i="1"/>
  <c r="CL116" i="1"/>
  <c r="CM116" i="1"/>
  <c r="CN116" i="1"/>
  <c r="CO116" i="1"/>
  <c r="CP116" i="1"/>
  <c r="CQ116" i="1"/>
  <c r="CR116" i="1"/>
  <c r="CS116" i="1"/>
  <c r="CT116" i="1"/>
  <c r="CU116" i="1"/>
  <c r="CV116" i="1"/>
  <c r="CW116" i="1"/>
  <c r="CY116" i="1"/>
  <c r="CZ116" i="1"/>
  <c r="DA116" i="1"/>
  <c r="DB116" i="1"/>
  <c r="DC116" i="1"/>
  <c r="DD116" i="1"/>
  <c r="DE116" i="1"/>
  <c r="DF116" i="1"/>
  <c r="DG116" i="1"/>
  <c r="DI116" i="1"/>
  <c r="DJ116" i="1"/>
  <c r="DM116" i="1"/>
  <c r="DN116" i="1"/>
  <c r="DO116" i="1"/>
  <c r="DP116" i="1"/>
  <c r="DQ116" i="1"/>
  <c r="DR116" i="1"/>
  <c r="DS116" i="1"/>
  <c r="DT116" i="1"/>
  <c r="DU116" i="1"/>
  <c r="DV116" i="1"/>
  <c r="DW116" i="1"/>
  <c r="DX116" i="1"/>
  <c r="DY116" i="1"/>
  <c r="EA116" i="1"/>
  <c r="EB116" i="1"/>
  <c r="EE116" i="1"/>
  <c r="EF116" i="1"/>
  <c r="EG116" i="1"/>
  <c r="EH116" i="1"/>
  <c r="EI116" i="1"/>
  <c r="EJ116" i="1"/>
  <c r="EK116" i="1"/>
  <c r="DZ116" i="1" s="1"/>
  <c r="EL116" i="1"/>
  <c r="EM116" i="1"/>
  <c r="EN116" i="1"/>
  <c r="S117" i="1"/>
  <c r="AF117" i="1"/>
  <c r="AG117" i="1"/>
  <c r="CX117" i="1" s="1"/>
  <c r="AH117" i="1"/>
  <c r="DH117" i="1" s="1"/>
  <c r="AI117" i="1"/>
  <c r="AJ117" i="1"/>
  <c r="AK117" i="1"/>
  <c r="AL117" i="1"/>
  <c r="AN117" i="1"/>
  <c r="AU117" i="1"/>
  <c r="AV117" i="1"/>
  <c r="CG117" i="1"/>
  <c r="CH117" i="1"/>
  <c r="CI117" i="1"/>
  <c r="CJ117" i="1"/>
  <c r="CK117" i="1"/>
  <c r="CL117" i="1"/>
  <c r="CM117" i="1"/>
  <c r="CN117" i="1"/>
  <c r="CO117" i="1"/>
  <c r="CP117" i="1"/>
  <c r="CQ117" i="1"/>
  <c r="CR117" i="1"/>
  <c r="CS117" i="1"/>
  <c r="CT117" i="1"/>
  <c r="CU117" i="1"/>
  <c r="CV117" i="1"/>
  <c r="CW117" i="1"/>
  <c r="CZ117" i="1"/>
  <c r="DA117" i="1"/>
  <c r="DB117" i="1"/>
  <c r="DC117" i="1"/>
  <c r="DD117" i="1"/>
  <c r="DE117" i="1"/>
  <c r="DF117" i="1"/>
  <c r="DG117" i="1"/>
  <c r="DI117" i="1"/>
  <c r="DJ117" i="1"/>
  <c r="DM117" i="1"/>
  <c r="DN117" i="1"/>
  <c r="DO117" i="1"/>
  <c r="DP117" i="1"/>
  <c r="DQ117" i="1"/>
  <c r="DR117" i="1"/>
  <c r="DS117" i="1"/>
  <c r="DT117" i="1"/>
  <c r="DU117" i="1"/>
  <c r="DV117" i="1"/>
  <c r="DW117" i="1"/>
  <c r="DX117" i="1"/>
  <c r="DY117" i="1"/>
  <c r="EA117" i="1"/>
  <c r="EB117" i="1"/>
  <c r="EE117" i="1"/>
  <c r="EF117" i="1"/>
  <c r="EG117" i="1"/>
  <c r="EH117" i="1"/>
  <c r="EI117" i="1"/>
  <c r="EJ117" i="1"/>
  <c r="EK117" i="1"/>
  <c r="DZ117" i="1" s="1"/>
  <c r="EL117" i="1"/>
  <c r="EM117" i="1"/>
  <c r="EN117" i="1"/>
  <c r="S118" i="1"/>
  <c r="AF118" i="1"/>
  <c r="AG118" i="1"/>
  <c r="CX118" i="1" s="1"/>
  <c r="AH118" i="1"/>
  <c r="DH118" i="1" s="1"/>
  <c r="AI118" i="1"/>
  <c r="AJ118" i="1"/>
  <c r="AK118" i="1"/>
  <c r="AL118" i="1"/>
  <c r="AN118" i="1"/>
  <c r="AU118" i="1"/>
  <c r="AV118" i="1"/>
  <c r="CG118" i="1"/>
  <c r="CH118" i="1"/>
  <c r="CI118" i="1"/>
  <c r="CJ118" i="1"/>
  <c r="CK118" i="1"/>
  <c r="CL118" i="1"/>
  <c r="CM118" i="1"/>
  <c r="CN118" i="1"/>
  <c r="CO118" i="1"/>
  <c r="CP118" i="1"/>
  <c r="CQ118" i="1"/>
  <c r="CR118" i="1"/>
  <c r="CS118" i="1"/>
  <c r="CT118" i="1"/>
  <c r="CU118" i="1"/>
  <c r="CV118" i="1"/>
  <c r="CW118" i="1"/>
  <c r="CZ118" i="1"/>
  <c r="DA118" i="1"/>
  <c r="DB118" i="1"/>
  <c r="DC118" i="1"/>
  <c r="DD118" i="1"/>
  <c r="DE118" i="1"/>
  <c r="DF118" i="1"/>
  <c r="DG118" i="1"/>
  <c r="DI118" i="1"/>
  <c r="DJ118" i="1"/>
  <c r="DM118" i="1"/>
  <c r="DN118" i="1"/>
  <c r="DO118" i="1"/>
  <c r="DP118" i="1"/>
  <c r="DQ118" i="1"/>
  <c r="DR118" i="1"/>
  <c r="DS118" i="1"/>
  <c r="DT118" i="1"/>
  <c r="DU118" i="1"/>
  <c r="DV118" i="1"/>
  <c r="DW118" i="1"/>
  <c r="DX118" i="1"/>
  <c r="DY118" i="1"/>
  <c r="EA118" i="1"/>
  <c r="EB118" i="1"/>
  <c r="EE118" i="1"/>
  <c r="EF118" i="1"/>
  <c r="EG118" i="1"/>
  <c r="EH118" i="1"/>
  <c r="EI118" i="1"/>
  <c r="EJ118" i="1"/>
  <c r="EK118" i="1"/>
  <c r="EL118" i="1"/>
  <c r="EM118" i="1"/>
  <c r="EN118" i="1"/>
  <c r="S119" i="1"/>
  <c r="AF119" i="1"/>
  <c r="AG119" i="1"/>
  <c r="CX119" i="1" s="1"/>
  <c r="AH119" i="1"/>
  <c r="DH119" i="1" s="1"/>
  <c r="AI119" i="1"/>
  <c r="AJ119" i="1"/>
  <c r="AK119" i="1"/>
  <c r="AL119" i="1"/>
  <c r="AN119" i="1"/>
  <c r="AU119" i="1"/>
  <c r="AV119" i="1"/>
  <c r="CG119" i="1"/>
  <c r="CH119" i="1"/>
  <c r="CI119" i="1"/>
  <c r="CJ119" i="1"/>
  <c r="CK119" i="1"/>
  <c r="CL119" i="1"/>
  <c r="CM119" i="1"/>
  <c r="CN119" i="1"/>
  <c r="CO119" i="1"/>
  <c r="CP119" i="1"/>
  <c r="CQ119" i="1"/>
  <c r="CR119" i="1"/>
  <c r="CS119" i="1"/>
  <c r="CT119" i="1"/>
  <c r="CU119" i="1"/>
  <c r="CV119" i="1"/>
  <c r="CW119" i="1"/>
  <c r="CZ119" i="1"/>
  <c r="DA119" i="1"/>
  <c r="DB119" i="1"/>
  <c r="DC119" i="1"/>
  <c r="DD119" i="1"/>
  <c r="DE119" i="1"/>
  <c r="DF119" i="1"/>
  <c r="DG119" i="1"/>
  <c r="DI119" i="1"/>
  <c r="DJ119" i="1"/>
  <c r="DM119" i="1"/>
  <c r="DN119" i="1"/>
  <c r="DO119" i="1"/>
  <c r="DP119" i="1"/>
  <c r="DQ119" i="1"/>
  <c r="DR119" i="1"/>
  <c r="DS119" i="1"/>
  <c r="DT119" i="1"/>
  <c r="DU119" i="1"/>
  <c r="DV119" i="1"/>
  <c r="DW119" i="1"/>
  <c r="DX119" i="1"/>
  <c r="DY119" i="1"/>
  <c r="EA119" i="1"/>
  <c r="EB119" i="1"/>
  <c r="EE119" i="1"/>
  <c r="EF119" i="1"/>
  <c r="EG119" i="1"/>
  <c r="EH119" i="1"/>
  <c r="EI119" i="1"/>
  <c r="EJ119" i="1"/>
  <c r="EK119" i="1"/>
  <c r="EL119" i="1"/>
  <c r="EM119" i="1"/>
  <c r="EN119" i="1"/>
  <c r="S120" i="1"/>
  <c r="AF120" i="1"/>
  <c r="AG120" i="1"/>
  <c r="CX120" i="1" s="1"/>
  <c r="AH120" i="1"/>
  <c r="DH120" i="1" s="1"/>
  <c r="AI120" i="1"/>
  <c r="AJ120" i="1"/>
  <c r="AK120" i="1"/>
  <c r="AL120" i="1"/>
  <c r="AN120" i="1"/>
  <c r="AU120" i="1"/>
  <c r="AV120" i="1"/>
  <c r="CG120" i="1"/>
  <c r="CH120" i="1"/>
  <c r="CI120" i="1"/>
  <c r="CJ120" i="1"/>
  <c r="CK120" i="1"/>
  <c r="CL120" i="1"/>
  <c r="CM120" i="1"/>
  <c r="CN120" i="1"/>
  <c r="CO120" i="1"/>
  <c r="CP120" i="1"/>
  <c r="CQ120" i="1"/>
  <c r="CR120" i="1"/>
  <c r="CS120" i="1"/>
  <c r="CT120" i="1"/>
  <c r="CU120" i="1"/>
  <c r="CV120" i="1"/>
  <c r="CW120" i="1"/>
  <c r="CY120" i="1"/>
  <c r="CZ120" i="1"/>
  <c r="DA120" i="1"/>
  <c r="DB120" i="1"/>
  <c r="DC120" i="1"/>
  <c r="DD120" i="1"/>
  <c r="DE120" i="1"/>
  <c r="DF120" i="1"/>
  <c r="DG120" i="1"/>
  <c r="DI120" i="1"/>
  <c r="DJ120" i="1"/>
  <c r="DM120" i="1"/>
  <c r="DN120" i="1"/>
  <c r="DO120" i="1"/>
  <c r="DP120" i="1"/>
  <c r="DQ120" i="1"/>
  <c r="DR120" i="1"/>
  <c r="DS120" i="1"/>
  <c r="DT120" i="1"/>
  <c r="DU120" i="1"/>
  <c r="DV120" i="1"/>
  <c r="DW120" i="1"/>
  <c r="DX120" i="1"/>
  <c r="DY120" i="1"/>
  <c r="EA120" i="1"/>
  <c r="EB120" i="1"/>
  <c r="EE120" i="1"/>
  <c r="EF120" i="1"/>
  <c r="EG120" i="1"/>
  <c r="EH120" i="1"/>
  <c r="EI120" i="1"/>
  <c r="EJ120" i="1"/>
  <c r="EK120" i="1"/>
  <c r="EL120" i="1"/>
  <c r="EM120" i="1"/>
  <c r="EN120" i="1"/>
  <c r="AM14" i="2"/>
  <c r="AM28" i="2"/>
  <c r="AQ8" i="2"/>
  <c r="AQ10" i="2"/>
  <c r="DZ14" i="2"/>
  <c r="AO5" i="2"/>
  <c r="AP5" i="2" s="1"/>
  <c r="EO64" i="3"/>
  <c r="AQ11" i="3"/>
  <c r="EO11" i="3"/>
  <c r="AT64" i="3"/>
  <c r="AM33" i="3"/>
  <c r="AS16" i="3"/>
  <c r="EO16" i="3"/>
  <c r="AT49" i="3"/>
  <c r="DZ49" i="3"/>
  <c r="AO83" i="3"/>
  <c r="AP83" i="3" s="1"/>
  <c r="AM50" i="3"/>
  <c r="DZ50" i="3"/>
  <c r="AT50" i="3"/>
  <c r="AO42" i="3"/>
  <c r="AP42" i="3" s="1"/>
  <c r="AR42" i="3"/>
  <c r="AS90" i="3"/>
  <c r="AR51" i="3"/>
  <c r="AS44" i="3"/>
  <c r="AT43" i="3"/>
  <c r="AM43" i="3"/>
  <c r="AQ43" i="3"/>
  <c r="AM25" i="3"/>
  <c r="AT25" i="3"/>
  <c r="EO71" i="3"/>
  <c r="AS31" i="3"/>
  <c r="EO31" i="3"/>
  <c r="AT86" i="3"/>
  <c r="EO30" i="3"/>
  <c r="AS86" i="3"/>
  <c r="EO86" i="3"/>
  <c r="DL71" i="3"/>
  <c r="AS55" i="3"/>
  <c r="EO55" i="3"/>
  <c r="AR28" i="3"/>
  <c r="EO28" i="3"/>
  <c r="AO28" i="3"/>
  <c r="AP28" i="3"/>
  <c r="AO9" i="3"/>
  <c r="AP9" i="3" s="1"/>
  <c r="AR9" i="3"/>
  <c r="AS9" i="3"/>
  <c r="AM5" i="3"/>
  <c r="AO5" i="3"/>
  <c r="AP5" i="3"/>
  <c r="AO86" i="3"/>
  <c r="AP86" i="3" s="1"/>
  <c r="DK57" i="3"/>
  <c r="DL57" i="3"/>
  <c r="AT56" i="3"/>
  <c r="AR46" i="3"/>
  <c r="AO46" i="3"/>
  <c r="AP46" i="3"/>
  <c r="EO13" i="3"/>
  <c r="AS13" i="3"/>
  <c r="DZ11" i="3"/>
  <c r="AM11" i="3"/>
  <c r="AT11" i="3"/>
  <c r="AR5" i="3"/>
  <c r="AS71" i="3"/>
  <c r="AR70" i="3"/>
  <c r="AS70" i="3"/>
  <c r="AO70" i="3"/>
  <c r="AP70" i="3" s="1"/>
  <c r="EO5" i="3"/>
  <c r="AQ5" i="3"/>
  <c r="AM86" i="3"/>
  <c r="AQ85" i="3"/>
  <c r="EO85" i="3"/>
  <c r="AO85" i="3"/>
  <c r="AP85" i="3"/>
  <c r="EO61" i="3"/>
  <c r="AS61" i="3"/>
  <c r="AR57" i="3"/>
  <c r="AQ48" i="3"/>
  <c r="EO19" i="3"/>
  <c r="AS19" i="3"/>
  <c r="DZ51" i="3"/>
  <c r="AM51" i="3"/>
  <c r="AT51" i="3"/>
  <c r="AS14" i="3"/>
  <c r="AO68" i="3"/>
  <c r="AP68" i="3" s="1"/>
  <c r="AR66" i="3"/>
  <c r="AT52" i="3"/>
  <c r="AQ51" i="3"/>
  <c r="AR25" i="3"/>
  <c r="AO25" i="3"/>
  <c r="AP25" i="3"/>
  <c r="AS25" i="3"/>
  <c r="AS56" i="3"/>
  <c r="AO35" i="3"/>
  <c r="AP35" i="3"/>
  <c r="EO88" i="3"/>
  <c r="DK59" i="3"/>
  <c r="AQ40" i="3"/>
  <c r="AM40" i="3"/>
  <c r="AR39" i="3"/>
  <c r="AO39" i="3"/>
  <c r="AP39" i="3"/>
  <c r="AR21" i="3"/>
  <c r="AO21" i="3"/>
  <c r="AP21" i="3" s="1"/>
  <c r="AO13" i="3"/>
  <c r="AP13" i="3" s="1"/>
  <c r="AR13" i="3"/>
  <c r="AT87" i="3"/>
  <c r="DZ81" i="3"/>
  <c r="AR80" i="3"/>
  <c r="AO72" i="3"/>
  <c r="AP72" i="3" s="1"/>
  <c r="AR72" i="3"/>
  <c r="EC72" i="3"/>
  <c r="AQ70" i="3"/>
  <c r="AR58" i="3"/>
  <c r="AS52" i="3"/>
  <c r="AT40" i="3"/>
  <c r="AQ22" i="3"/>
  <c r="AO7" i="3"/>
  <c r="AP7" i="3" s="1"/>
  <c r="AQ7" i="3"/>
  <c r="AR7" i="3"/>
  <c r="AS7" i="3"/>
  <c r="AM46" i="3"/>
  <c r="AT46" i="3"/>
  <c r="AO32" i="3"/>
  <c r="AP32" i="3" s="1"/>
  <c r="AO22" i="3"/>
  <c r="AP22" i="3" s="1"/>
  <c r="AR22" i="3"/>
  <c r="S78" i="3"/>
  <c r="EF78" i="3"/>
  <c r="EO78" i="3" s="1"/>
  <c r="EE78" i="3"/>
  <c r="EI78" i="3"/>
  <c r="EJ78" i="3"/>
  <c r="AF78" i="3"/>
  <c r="AT73" i="3"/>
  <c r="AM73" i="3"/>
  <c r="DZ73" i="3"/>
  <c r="AQ62" i="3"/>
  <c r="AR62" i="3"/>
  <c r="DL55" i="3"/>
  <c r="AO47" i="3"/>
  <c r="AP47" i="3"/>
  <c r="AR47" i="3"/>
  <c r="AT26" i="3"/>
  <c r="AM26" i="3"/>
  <c r="AO26" i="3"/>
  <c r="AP26" i="3" s="1"/>
  <c r="AQ26" i="3"/>
  <c r="AT15" i="3"/>
  <c r="AM15" i="3"/>
  <c r="AQ15" i="3"/>
  <c r="DZ15" i="3"/>
  <c r="EO14" i="3"/>
  <c r="AM88" i="3"/>
  <c r="AR54" i="3"/>
  <c r="EO51" i="3"/>
  <c r="AT47" i="3"/>
  <c r="DZ47" i="3"/>
  <c r="AM47" i="3"/>
  <c r="EO42" i="3"/>
  <c r="AS42" i="3"/>
  <c r="AQ33" i="3"/>
  <c r="AQ25" i="3"/>
  <c r="EO9" i="3"/>
  <c r="EO73" i="3"/>
  <c r="AS73" i="3"/>
  <c r="AM72" i="3"/>
  <c r="DZ72" i="3"/>
  <c r="AT72" i="3"/>
  <c r="AS65" i="3"/>
  <c r="AO64" i="3"/>
  <c r="AP64" i="3" s="1"/>
  <c r="AS64" i="3"/>
  <c r="DL56" i="3"/>
  <c r="AO45" i="3"/>
  <c r="AP45" i="3" s="1"/>
  <c r="AQ45" i="3"/>
  <c r="EO36" i="3"/>
  <c r="DK8" i="3"/>
  <c r="DL8" i="3"/>
  <c r="DL87" i="3"/>
  <c r="DK87" i="3"/>
  <c r="EN78" i="3"/>
  <c r="AM75" i="3"/>
  <c r="DZ75" i="3"/>
  <c r="AT75" i="3"/>
  <c r="AO62" i="3"/>
  <c r="AP62" i="3" s="1"/>
  <c r="AS36" i="3"/>
  <c r="EO22" i="3"/>
  <c r="AT22" i="3"/>
  <c r="AR19" i="3"/>
  <c r="AO19" i="3"/>
  <c r="AP19" i="3" s="1"/>
  <c r="AO8" i="3"/>
  <c r="AP8" i="3" s="1"/>
  <c r="AR8" i="3"/>
  <c r="AS8" i="3"/>
  <c r="EO79" i="3"/>
  <c r="EM78" i="3"/>
  <c r="AQ73" i="3"/>
  <c r="AM70" i="3"/>
  <c r="EO45" i="3"/>
  <c r="AS45" i="3"/>
  <c r="AR44" i="3"/>
  <c r="AO40" i="3"/>
  <c r="AP40" i="3"/>
  <c r="AM32" i="3"/>
  <c r="AS22" i="3"/>
  <c r="EO10" i="3"/>
  <c r="AO90" i="3"/>
  <c r="AP90" i="3"/>
  <c r="AR90" i="3"/>
  <c r="AS79" i="3"/>
  <c r="EL78" i="3"/>
  <c r="AR78" i="3" s="1"/>
  <c r="EO69" i="3"/>
  <c r="AO61" i="3"/>
  <c r="AP61" i="3" s="1"/>
  <c r="AQ61" i="3"/>
  <c r="DZ46" i="3"/>
  <c r="AQ31" i="3"/>
  <c r="AM31" i="3"/>
  <c r="AM21" i="3"/>
  <c r="AQ21" i="3"/>
  <c r="AT21" i="3"/>
  <c r="AR85" i="3"/>
  <c r="AR79" i="3"/>
  <c r="EK78" i="3"/>
  <c r="AM78" i="3" s="1"/>
  <c r="DZ70" i="3"/>
  <c r="AT61" i="3"/>
  <c r="AO41" i="3"/>
  <c r="AP41" i="3"/>
  <c r="AS41" i="3"/>
  <c r="AR41" i="3"/>
  <c r="AR11" i="3"/>
  <c r="AS11" i="3"/>
  <c r="AT66" i="3"/>
  <c r="AM66" i="3"/>
  <c r="AQ66" i="3"/>
  <c r="AO55" i="3"/>
  <c r="AP55" i="3"/>
  <c r="DK46" i="3"/>
  <c r="DL46" i="3"/>
  <c r="AO24" i="3"/>
  <c r="AP24" i="3" s="1"/>
  <c r="AR24" i="3"/>
  <c r="AS24" i="3"/>
  <c r="AO23" i="3"/>
  <c r="AP23" i="3"/>
  <c r="AT9" i="3"/>
  <c r="DZ9" i="3"/>
  <c r="AS75" i="3"/>
  <c r="AO69" i="3"/>
  <c r="AP69" i="3" s="1"/>
  <c r="AR69" i="3"/>
  <c r="AQ32" i="3"/>
  <c r="EO27" i="3"/>
  <c r="EO26" i="3"/>
  <c r="AT24" i="3"/>
  <c r="AM24" i="3"/>
  <c r="AR10" i="3"/>
  <c r="AQ10" i="3"/>
  <c r="AQ84" i="3"/>
  <c r="EG82" i="3"/>
  <c r="EO82" i="3" s="1"/>
  <c r="EM82" i="3"/>
  <c r="EN82" i="3"/>
  <c r="S82" i="3"/>
  <c r="EI82" i="3"/>
  <c r="AF82" i="3"/>
  <c r="EJ82" i="3"/>
  <c r="EK82" i="3"/>
  <c r="DZ82" i="3" s="1"/>
  <c r="AQ72" i="3"/>
  <c r="AQ46" i="3"/>
  <c r="DZ45" i="3"/>
  <c r="AM45" i="3"/>
  <c r="AT45" i="3"/>
  <c r="DK15" i="3"/>
  <c r="DK12" i="3"/>
  <c r="DL12" i="3"/>
  <c r="AQ90" i="3"/>
  <c r="EJ80" i="3"/>
  <c r="EN80" i="3"/>
  <c r="EE80" i="3"/>
  <c r="EF80" i="3"/>
  <c r="AF80" i="3"/>
  <c r="EI80" i="3"/>
  <c r="EK80" i="3"/>
  <c r="AQ80" i="3" s="1"/>
  <c r="AM74" i="3"/>
  <c r="AO74" i="3"/>
  <c r="AP74" i="3" s="1"/>
  <c r="AQ74" i="3"/>
  <c r="AM60" i="3"/>
  <c r="DZ57" i="3"/>
  <c r="AM57" i="3"/>
  <c r="AT57" i="3"/>
  <c r="AQ42" i="3"/>
  <c r="AQ37" i="3"/>
  <c r="AT37" i="3"/>
  <c r="AT35" i="3"/>
  <c r="AQ13" i="3"/>
  <c r="AO10" i="3"/>
  <c r="AP10" i="3" s="1"/>
  <c r="AM9" i="3"/>
  <c r="AQ8" i="3"/>
  <c r="EL82" i="3"/>
  <c r="AS82" i="3" s="1"/>
  <c r="DL72" i="3"/>
  <c r="AR68" i="3"/>
  <c r="AO48" i="3"/>
  <c r="AP48" i="3" s="1"/>
  <c r="EO38" i="3"/>
  <c r="AQ35" i="3"/>
  <c r="AQ24" i="3"/>
  <c r="EO20" i="3"/>
  <c r="AQ9" i="3"/>
  <c r="AM8" i="3"/>
  <c r="AT89" i="3"/>
  <c r="AR83" i="3"/>
  <c r="EL77" i="3"/>
  <c r="AR77" i="3" s="1"/>
  <c r="S77" i="3"/>
  <c r="EG77" i="3"/>
  <c r="AF77" i="3"/>
  <c r="EH77" i="3"/>
  <c r="EM77" i="3"/>
  <c r="EO72" i="3"/>
  <c r="AS72" i="3"/>
  <c r="AR56" i="3"/>
  <c r="AR55" i="3"/>
  <c r="AQ52" i="3"/>
  <c r="EO35" i="3"/>
  <c r="AS35" i="3"/>
  <c r="AR34" i="3"/>
  <c r="AT17" i="3"/>
  <c r="AQ17" i="3"/>
  <c r="AR16" i="3"/>
  <c r="AT91" i="3"/>
  <c r="AS85" i="3"/>
  <c r="AF83" i="3"/>
  <c r="EF83" i="3"/>
  <c r="EK83" i="3"/>
  <c r="AQ83" i="3" s="1"/>
  <c r="EH83" i="3"/>
  <c r="EO83" i="3" s="1"/>
  <c r="EK77" i="3"/>
  <c r="AQ77" i="3" s="1"/>
  <c r="EC70" i="3"/>
  <c r="AT54" i="3"/>
  <c r="AQ30" i="3"/>
  <c r="EO25" i="3"/>
  <c r="AM16" i="3"/>
  <c r="EO7" i="3"/>
  <c r="DK6" i="3"/>
  <c r="DL6" i="3"/>
  <c r="EO66" i="3"/>
  <c r="AS66" i="3"/>
  <c r="EC58" i="3"/>
  <c r="AS39" i="3"/>
  <c r="AO36" i="3"/>
  <c r="AP36" i="3" s="1"/>
  <c r="AQ29" i="3"/>
  <c r="AM28" i="3"/>
  <c r="DZ18" i="3"/>
  <c r="AM18" i="3"/>
  <c r="AT18" i="3"/>
  <c r="AM13" i="3"/>
  <c r="DZ13" i="3"/>
  <c r="AT13" i="3"/>
  <c r="AO6" i="3"/>
  <c r="AP6" i="3" s="1"/>
  <c r="AR86" i="3"/>
  <c r="AQ58" i="3"/>
  <c r="AQ54" i="3"/>
  <c r="EO46" i="3"/>
  <c r="AR38" i="3"/>
  <c r="AQ36" i="3"/>
  <c r="EO32" i="3"/>
  <c r="AS32" i="3"/>
  <c r="AS21" i="3"/>
  <c r="EO21" i="3"/>
  <c r="EE77" i="3"/>
  <c r="AS77" i="3" s="1"/>
  <c r="AM76" i="3"/>
  <c r="DZ76" i="3"/>
  <c r="AR74" i="3"/>
  <c r="EC73" i="3"/>
  <c r="AS68" i="3"/>
  <c r="AM61" i="3"/>
  <c r="AQ55" i="3"/>
  <c r="AS53" i="3"/>
  <c r="AO49" i="3"/>
  <c r="AP49" i="3" s="1"/>
  <c r="AM38" i="3"/>
  <c r="AT38" i="3"/>
  <c r="AQ34" i="3"/>
  <c r="AM17" i="3"/>
  <c r="AQ16" i="3"/>
  <c r="AT16" i="3"/>
  <c r="AR6" i="3"/>
  <c r="DK73" i="3"/>
  <c r="AM67" i="3"/>
  <c r="AT67" i="3"/>
  <c r="DL52" i="3"/>
  <c r="AS46" i="3"/>
  <c r="AM29" i="3"/>
  <c r="AT28" i="3"/>
  <c r="EO23" i="3"/>
  <c r="AS23" i="3"/>
  <c r="AS17" i="3"/>
  <c r="AQ6" i="3"/>
  <c r="AT41" i="3"/>
  <c r="AO30" i="3"/>
  <c r="AP30" i="3"/>
  <c r="AO27" i="3"/>
  <c r="AP27" i="3" s="1"/>
  <c r="EJ81" i="3"/>
  <c r="AM68" i="3"/>
  <c r="AQ63" i="3"/>
  <c r="AT62" i="3"/>
  <c r="AQ50" i="3"/>
  <c r="AS38" i="3"/>
  <c r="AT27" i="3"/>
  <c r="AQ20" i="3"/>
  <c r="AQ19" i="3"/>
  <c r="AT14" i="3"/>
  <c r="AS91" i="3"/>
  <c r="AR48" i="3"/>
  <c r="AR30" i="3"/>
  <c r="AR29" i="3"/>
  <c r="AR27" i="3"/>
  <c r="EC87" i="3"/>
  <c r="EE81" i="3"/>
  <c r="S79" i="3"/>
  <c r="EF79" i="3"/>
  <c r="EK79" i="3"/>
  <c r="AQ49" i="3"/>
  <c r="AM48" i="3"/>
  <c r="DZ48" i="3"/>
  <c r="AO33" i="3"/>
  <c r="AP33" i="3" s="1"/>
  <c r="AQ18" i="3"/>
  <c r="EO8" i="3"/>
  <c r="AS6" i="3"/>
  <c r="DK40" i="2"/>
  <c r="DZ33" i="2"/>
  <c r="AM7" i="2"/>
  <c r="DZ7" i="2"/>
  <c r="EC7" i="2"/>
  <c r="DZ71" i="2"/>
  <c r="DZ13" i="2"/>
  <c r="DL28" i="2"/>
  <c r="DZ69" i="2"/>
  <c r="AO11" i="2"/>
  <c r="AP11" i="2" s="1"/>
  <c r="DZ31" i="2"/>
  <c r="EC13" i="2"/>
  <c r="DZ8" i="2"/>
  <c r="AO9" i="1"/>
  <c r="EO34" i="1"/>
  <c r="AM7" i="1"/>
  <c r="AT7" i="1"/>
  <c r="AP7" i="1"/>
  <c r="AP10" i="1"/>
  <c r="AM10" i="1"/>
  <c r="AQ10" i="1"/>
  <c r="AO11" i="1"/>
  <c r="AS11" i="1"/>
  <c r="DZ99" i="1"/>
  <c r="AS7" i="1"/>
  <c r="AO7" i="1"/>
  <c r="AS10" i="1"/>
  <c r="AP47" i="1"/>
  <c r="AP9" i="1"/>
  <c r="AM65" i="1"/>
  <c r="EL58" i="1"/>
  <c r="EC31" i="1"/>
  <c r="AN33" i="1"/>
  <c r="DK9" i="1"/>
  <c r="AN7" i="1"/>
  <c r="EE41" i="1"/>
  <c r="AS17" i="1"/>
  <c r="AN16" i="1"/>
  <c r="DK15" i="1"/>
  <c r="AN8" i="1"/>
  <c r="AS8" i="1"/>
  <c r="EI40" i="1"/>
  <c r="EM40" i="1"/>
  <c r="DK8" i="1"/>
  <c r="DL8" i="1"/>
  <c r="AT33" i="1"/>
  <c r="AT17" i="1"/>
  <c r="AM79" i="3"/>
  <c r="DZ79" i="3"/>
  <c r="AT79" i="3"/>
  <c r="AQ79" i="3"/>
  <c r="AO82" i="3"/>
  <c r="AP82" i="3" s="1"/>
  <c r="AM80" i="3"/>
  <c r="AT80" i="3"/>
  <c r="DZ80" i="3"/>
  <c r="EO80" i="3"/>
  <c r="AS80" i="3"/>
  <c r="DZ83" i="3"/>
  <c r="DZ77" i="3"/>
  <c r="AT77" i="3"/>
  <c r="AM77" i="3"/>
  <c r="AO78" i="3"/>
  <c r="AP78" i="3" s="1"/>
  <c r="AN22" i="1" l="1"/>
  <c r="AM32" i="1"/>
  <c r="AO27" i="1"/>
  <c r="AR13" i="1"/>
  <c r="EO12" i="1"/>
  <c r="AR8" i="1"/>
  <c r="AR12" i="1"/>
  <c r="AN13" i="1"/>
  <c r="AM49" i="1"/>
  <c r="AO26" i="1"/>
  <c r="DL18" i="1"/>
  <c r="AT14" i="1"/>
  <c r="AM8" i="1"/>
  <c r="AR9" i="1"/>
  <c r="AR22" i="1"/>
  <c r="EO65" i="1"/>
  <c r="AS63" i="1"/>
  <c r="AQ9" i="1"/>
  <c r="AS78" i="3"/>
  <c r="EO57" i="3"/>
  <c r="AQ76" i="3"/>
  <c r="AQ67" i="3"/>
  <c r="AQ59" i="3"/>
  <c r="DK58" i="3"/>
  <c r="DL58" i="3"/>
  <c r="AS34" i="3"/>
  <c r="EO34" i="3"/>
  <c r="AM83" i="3"/>
  <c r="AS83" i="3"/>
  <c r="EO62" i="3"/>
  <c r="DL48" i="3"/>
  <c r="AO80" i="3"/>
  <c r="AP80" i="3" s="1"/>
  <c r="AR76" i="3"/>
  <c r="EC74" i="3"/>
  <c r="AO67" i="3"/>
  <c r="AP67" i="3" s="1"/>
  <c r="EO67" i="3"/>
  <c r="AO59" i="3"/>
  <c r="AP59" i="3" s="1"/>
  <c r="AT59" i="3"/>
  <c r="AM56" i="3"/>
  <c r="AQ56" i="3"/>
  <c r="EO47" i="3"/>
  <c r="AR45" i="3"/>
  <c r="AT83" i="3"/>
  <c r="AQ78" i="3"/>
  <c r="DK74" i="3"/>
  <c r="DL74" i="3"/>
  <c r="AQ68" i="3"/>
  <c r="DZ68" i="3"/>
  <c r="AR61" i="3"/>
  <c r="EO59" i="3"/>
  <c r="EO54" i="3"/>
  <c r="EO77" i="3"/>
  <c r="AQ60" i="3"/>
  <c r="EO43" i="3"/>
  <c r="AS58" i="3"/>
  <c r="EO76" i="3"/>
  <c r="AQ87" i="3"/>
  <c r="EC90" i="3"/>
  <c r="AR88" i="3"/>
  <c r="AT84" i="3"/>
  <c r="AO79" i="3"/>
  <c r="AP79" i="3" s="1"/>
  <c r="EO52" i="3"/>
  <c r="EO40" i="3"/>
  <c r="AS37" i="3"/>
  <c r="AO44" i="3"/>
  <c r="AP44" i="3" s="1"/>
  <c r="AM84" i="3"/>
  <c r="AQ82" i="3"/>
  <c r="AT78" i="3"/>
  <c r="AM82" i="3"/>
  <c r="AO77" i="3"/>
  <c r="AP77" i="3" s="1"/>
  <c r="EO68" i="3"/>
  <c r="EO87" i="3"/>
  <c r="AO87" i="3"/>
  <c r="AP87" i="3" s="1"/>
  <c r="AS76" i="3"/>
  <c r="AM91" i="3"/>
  <c r="EO90" i="3"/>
  <c r="AT88" i="3"/>
  <c r="DZ88" i="3"/>
  <c r="AO71" i="3"/>
  <c r="AP71" i="3" s="1"/>
  <c r="AQ71" i="3"/>
  <c r="AT70" i="3"/>
  <c r="AS69" i="3"/>
  <c r="AR60" i="3"/>
  <c r="AO60" i="3"/>
  <c r="AP60" i="3" s="1"/>
  <c r="DL54" i="3"/>
  <c r="AO52" i="3"/>
  <c r="AP52" i="3" s="1"/>
  <c r="AR82" i="3"/>
  <c r="DZ78" i="3"/>
  <c r="AT82" i="3"/>
  <c r="AS54" i="3"/>
  <c r="AT44" i="3"/>
  <c r="AS59" i="3"/>
  <c r="EO49" i="3"/>
  <c r="AO88" i="3"/>
  <c r="AP88" i="3" s="1"/>
  <c r="DK91" i="3"/>
  <c r="AS89" i="3"/>
  <c r="AM85" i="3"/>
  <c r="AT85" i="3"/>
  <c r="AT74" i="3"/>
  <c r="DZ60" i="3"/>
  <c r="AT60" i="3"/>
  <c r="DL59" i="3"/>
  <c r="AO57" i="3"/>
  <c r="AP57" i="3" s="1"/>
  <c r="AM53" i="3"/>
  <c r="AT53" i="3"/>
  <c r="AR50" i="3"/>
  <c r="AO50" i="3"/>
  <c r="AP50" i="3" s="1"/>
  <c r="AR35" i="3"/>
  <c r="AM35" i="3"/>
  <c r="DL75" i="3"/>
  <c r="AR89" i="3"/>
  <c r="AF81" i="3"/>
  <c r="EG81" i="3"/>
  <c r="EH81" i="3"/>
  <c r="EI81" i="3"/>
  <c r="S81" i="3"/>
  <c r="EF81" i="3"/>
  <c r="EO81" i="3" s="1"/>
  <c r="EM81" i="3"/>
  <c r="AT69" i="3"/>
  <c r="EO65" i="3"/>
  <c r="AO65" i="3"/>
  <c r="AP65" i="3" s="1"/>
  <c r="AQ64" i="3"/>
  <c r="AM64" i="3"/>
  <c r="AO58" i="3"/>
  <c r="AP58" i="3" s="1"/>
  <c r="AM55" i="3"/>
  <c r="AS48" i="3"/>
  <c r="AQ47" i="3"/>
  <c r="AM44" i="3"/>
  <c r="AM42" i="3"/>
  <c r="AT42" i="3"/>
  <c r="EO41" i="3"/>
  <c r="AQ39" i="3"/>
  <c r="AM39" i="3"/>
  <c r="AR36" i="3"/>
  <c r="AT63" i="3"/>
  <c r="AM59" i="3"/>
  <c r="AM58" i="3"/>
  <c r="AO53" i="3"/>
  <c r="AP53" i="3" s="1"/>
  <c r="AR20" i="3"/>
  <c r="AT20" i="3"/>
  <c r="AO18" i="3"/>
  <c r="AP18" i="3" s="1"/>
  <c r="DK16" i="3"/>
  <c r="EO15" i="3"/>
  <c r="AR15" i="3"/>
  <c r="DL14" i="3"/>
  <c r="EO12" i="3"/>
  <c r="EO17" i="3"/>
  <c r="AT6" i="3"/>
  <c r="DZ19" i="3"/>
  <c r="AR17" i="3"/>
  <c r="DZ14" i="3"/>
  <c r="DK13" i="3"/>
  <c r="AT10" i="3"/>
  <c r="DZ7" i="3"/>
  <c r="DZ5" i="3"/>
  <c r="AT7" i="3"/>
  <c r="AQ89" i="3"/>
  <c r="AO84" i="3"/>
  <c r="AP84" i="3" s="1"/>
  <c r="AT71" i="3"/>
  <c r="AR52" i="3"/>
  <c r="EO29" i="3"/>
  <c r="AQ14" i="3"/>
  <c r="DZ8" i="3"/>
  <c r="EO18" i="3"/>
  <c r="DL7" i="3"/>
  <c r="AS11" i="2"/>
  <c r="AS9" i="2"/>
  <c r="DK7" i="2"/>
  <c r="AS32" i="2"/>
  <c r="AM41" i="2"/>
  <c r="AR28" i="2"/>
  <c r="DL13" i="2"/>
  <c r="DL8" i="2"/>
  <c r="AQ70" i="2"/>
  <c r="AO44" i="2"/>
  <c r="AP44" i="2" s="1"/>
  <c r="AQ13" i="2"/>
  <c r="AO10" i="2"/>
  <c r="AP10" i="2" s="1"/>
  <c r="AO15" i="2"/>
  <c r="AP15" i="2" s="1"/>
  <c r="AR9" i="2"/>
  <c r="AS14" i="2"/>
  <c r="AO14" i="2"/>
  <c r="AP14" i="2" s="1"/>
  <c r="AQ126" i="2"/>
  <c r="AO82" i="2"/>
  <c r="AP82" i="2" s="1"/>
  <c r="AR61" i="2"/>
  <c r="AS18" i="2"/>
  <c r="AM35" i="2"/>
  <c r="DL129" i="2"/>
  <c r="DL126" i="2"/>
  <c r="AQ75" i="2"/>
  <c r="AR47" i="2"/>
  <c r="AQ39" i="2"/>
  <c r="AQ18" i="2"/>
  <c r="AM122" i="2"/>
  <c r="DK117" i="2"/>
  <c r="AS47" i="2"/>
  <c r="AM43" i="2"/>
  <c r="AS41" i="2"/>
  <c r="AM39" i="2"/>
  <c r="AO31" i="2"/>
  <c r="AP31" i="2" s="1"/>
  <c r="DL40" i="2"/>
  <c r="DK115" i="2"/>
  <c r="AR58" i="2"/>
  <c r="AR44" i="2"/>
  <c r="AS39" i="2"/>
  <c r="AR128" i="2"/>
  <c r="AS85" i="2"/>
  <c r="AR78" i="2"/>
  <c r="AS73" i="2"/>
  <c r="AS69" i="2"/>
  <c r="DK58" i="2"/>
  <c r="AO54" i="2"/>
  <c r="AS31" i="2"/>
  <c r="AR10" i="2"/>
  <c r="EO9" i="2"/>
  <c r="AQ17" i="2"/>
  <c r="DK17" i="2"/>
  <c r="AR17" i="2"/>
  <c r="EO24" i="2"/>
  <c r="AO21" i="2"/>
  <c r="AP21" i="2" s="1"/>
  <c r="AM17" i="2"/>
  <c r="AS57" i="2"/>
  <c r="AO76" i="2"/>
  <c r="AP76" i="2" s="1"/>
  <c r="AR50" i="2"/>
  <c r="AR40" i="2"/>
  <c r="DK31" i="2"/>
  <c r="DL9" i="2"/>
  <c r="AR5" i="2"/>
  <c r="DL69" i="2"/>
  <c r="AM82" i="2"/>
  <c r="EC40" i="2"/>
  <c r="AR35" i="2"/>
  <c r="AO18" i="2"/>
  <c r="AP18" i="2" s="1"/>
  <c r="AR16" i="2"/>
  <c r="AQ14" i="2"/>
  <c r="AM8" i="2"/>
  <c r="AS7" i="2"/>
  <c r="EO24" i="1"/>
  <c r="DL16" i="1"/>
  <c r="AP14" i="1"/>
  <c r="AS13" i="1"/>
  <c r="AR19" i="1"/>
  <c r="AO12" i="1"/>
  <c r="DK96" i="1"/>
  <c r="EC76" i="1"/>
  <c r="AM53" i="1"/>
  <c r="AM117" i="1"/>
  <c r="AO114" i="1"/>
  <c r="AP114" i="1" s="1"/>
  <c r="AM104" i="1"/>
  <c r="AO82" i="1"/>
  <c r="AP82" i="1" s="1"/>
  <c r="DL80" i="1"/>
  <c r="AM77" i="1"/>
  <c r="AM70" i="1"/>
  <c r="AO68" i="1"/>
  <c r="AP68" i="1" s="1"/>
  <c r="EN56" i="1"/>
  <c r="AT44" i="1"/>
  <c r="AT30" i="1"/>
  <c r="AO37" i="1"/>
  <c r="S40" i="1"/>
  <c r="AR18" i="1"/>
  <c r="AM16" i="1"/>
  <c r="AM47" i="1"/>
  <c r="AM46" i="1"/>
  <c r="AM43" i="1"/>
  <c r="AT42" i="1"/>
  <c r="AP21" i="1"/>
  <c r="DL21" i="1"/>
  <c r="EO66" i="1"/>
  <c r="EO19" i="1"/>
  <c r="AS12" i="1"/>
  <c r="EO8" i="1"/>
  <c r="AR43" i="1"/>
  <c r="AS26" i="1"/>
  <c r="AO21" i="1"/>
  <c r="AM102" i="1"/>
  <c r="EC67" i="1"/>
  <c r="AN51" i="1"/>
  <c r="AQ36" i="1"/>
  <c r="AR33" i="1"/>
  <c r="AT18" i="1"/>
  <c r="DK118" i="1"/>
  <c r="AT103" i="1"/>
  <c r="EC50" i="1"/>
  <c r="DK81" i="1"/>
  <c r="AS72" i="1"/>
  <c r="AS67" i="1"/>
  <c r="AQ44" i="1"/>
  <c r="DK32" i="1"/>
  <c r="DK25" i="1"/>
  <c r="EO20" i="1"/>
  <c r="AF40" i="1"/>
  <c r="AO8" i="1"/>
  <c r="EC68" i="1"/>
  <c r="AF57" i="1"/>
  <c r="EC48" i="1"/>
  <c r="AO35" i="1"/>
  <c r="EC27" i="1"/>
  <c r="AR20" i="1"/>
  <c r="EC20" i="1"/>
  <c r="EC17" i="1"/>
  <c r="EO16" i="1"/>
  <c r="AR44" i="1"/>
  <c r="AS44" i="1"/>
  <c r="EC19" i="1"/>
  <c r="EC12" i="1"/>
  <c r="AO99" i="1"/>
  <c r="AP99" i="1" s="1"/>
  <c r="EC82" i="1"/>
  <c r="DL60" i="1"/>
  <c r="AT10" i="1"/>
  <c r="AP8" i="1"/>
  <c r="EH40" i="1"/>
  <c r="DZ102" i="1"/>
  <c r="AO13" i="1"/>
  <c r="AT102" i="1"/>
  <c r="EC54" i="1"/>
  <c r="AO54" i="1" s="1"/>
  <c r="AT39" i="1"/>
  <c r="AM35" i="1"/>
  <c r="AQ29" i="1"/>
  <c r="DL29" i="1"/>
  <c r="AS25" i="1"/>
  <c r="AR24" i="1"/>
  <c r="AM22" i="1"/>
  <c r="AR21" i="1"/>
  <c r="AM20" i="1"/>
  <c r="EC18" i="1"/>
  <c r="EO17" i="1"/>
  <c r="EC11" i="1"/>
  <c r="EO9" i="1"/>
  <c r="EH56" i="1"/>
  <c r="AR89" i="1"/>
  <c r="AQ88" i="1"/>
  <c r="AR87" i="1"/>
  <c r="AM86" i="1"/>
  <c r="AT83" i="1"/>
  <c r="DK80" i="1"/>
  <c r="AO76" i="1"/>
  <c r="AP76" i="1" s="1"/>
  <c r="DK67" i="1"/>
  <c r="AR66" i="1"/>
  <c r="AT65" i="1"/>
  <c r="AM63" i="1"/>
  <c r="AR62" i="1"/>
  <c r="AO44" i="1"/>
  <c r="AO42" i="1"/>
  <c r="AN32" i="1"/>
  <c r="DL27" i="1"/>
  <c r="AO23" i="1"/>
  <c r="AM18" i="1"/>
  <c r="AO16" i="1"/>
  <c r="DK16" i="1"/>
  <c r="AT11" i="1"/>
  <c r="DK11" i="1"/>
  <c r="AN10" i="1"/>
  <c r="AS54" i="2"/>
  <c r="AS15" i="2"/>
  <c r="AQ23" i="2"/>
  <c r="AS72" i="2"/>
  <c r="AQ53" i="2"/>
  <c r="AM9" i="2"/>
  <c r="AR57" i="2"/>
  <c r="AM125" i="2"/>
  <c r="DZ43" i="2"/>
  <c r="DZ17" i="2"/>
  <c r="AM115" i="2"/>
  <c r="DK8" i="2"/>
  <c r="AS16" i="2"/>
  <c r="AM16" i="2"/>
  <c r="AR14" i="2"/>
  <c r="DK129" i="2"/>
  <c r="AS128" i="2"/>
  <c r="AM31" i="2"/>
  <c r="AM49" i="2"/>
  <c r="AO28" i="2"/>
  <c r="AP28" i="2" s="1"/>
  <c r="DL56" i="2"/>
  <c r="EO55" i="2"/>
  <c r="AS45" i="2"/>
  <c r="AO40" i="2"/>
  <c r="AP40" i="2" s="1"/>
  <c r="DK32" i="2"/>
  <c r="AO126" i="2"/>
  <c r="AP126" i="2" s="1"/>
  <c r="AM90" i="2"/>
  <c r="AM85" i="2"/>
  <c r="DK85" i="2"/>
  <c r="EL57" i="1"/>
  <c r="AT21" i="1"/>
  <c r="EH58" i="1"/>
  <c r="AR99" i="1"/>
  <c r="AR86" i="1"/>
  <c r="AS23" i="1"/>
  <c r="AM60" i="1"/>
  <c r="AM54" i="1"/>
  <c r="EO46" i="1"/>
  <c r="DL45" i="1"/>
  <c r="AT38" i="1"/>
  <c r="EO37" i="1"/>
  <c r="AS34" i="1"/>
  <c r="EC33" i="1"/>
  <c r="AR29" i="1"/>
  <c r="EC29" i="1"/>
  <c r="DL28" i="1"/>
  <c r="AM26" i="1"/>
  <c r="DL26" i="1"/>
  <c r="AS22" i="1"/>
  <c r="AO20" i="1"/>
  <c r="AP19" i="1"/>
  <c r="AO18" i="1"/>
  <c r="AR109" i="1"/>
  <c r="AR91" i="1"/>
  <c r="DK22" i="1"/>
  <c r="AS65" i="1"/>
  <c r="AR63" i="1"/>
  <c r="AO61" i="1"/>
  <c r="AP61" i="1" s="1"/>
  <c r="S57" i="1"/>
  <c r="AN49" i="1"/>
  <c r="AS38" i="1"/>
  <c r="AN11" i="1"/>
  <c r="EO29" i="1"/>
  <c r="AR71" i="1"/>
  <c r="EM57" i="1"/>
  <c r="AM114" i="1"/>
  <c r="EC114" i="1"/>
  <c r="DK82" i="1"/>
  <c r="AQ81" i="1"/>
  <c r="AM69" i="1"/>
  <c r="AS64" i="1"/>
  <c r="EK57" i="1"/>
  <c r="DL50" i="1"/>
  <c r="DL33" i="1"/>
  <c r="AS30" i="1"/>
  <c r="EO18" i="1"/>
  <c r="AM17" i="1"/>
  <c r="DK17" i="1"/>
  <c r="DK49" i="1"/>
  <c r="EJ41" i="1"/>
  <c r="EI57" i="1"/>
  <c r="DZ57" i="1" s="1"/>
  <c r="EF58" i="1"/>
  <c r="AS35" i="1"/>
  <c r="AQ89" i="1"/>
  <c r="AQ77" i="1"/>
  <c r="AO38" i="1"/>
  <c r="AQ21" i="1"/>
  <c r="AT100" i="1"/>
  <c r="EH57" i="1"/>
  <c r="AT70" i="1"/>
  <c r="EE58" i="1"/>
  <c r="DZ77" i="1"/>
  <c r="AO117" i="1"/>
  <c r="AP117" i="1" s="1"/>
  <c r="DK115" i="1"/>
  <c r="DK114" i="1"/>
  <c r="EC83" i="1"/>
  <c r="AR76" i="1"/>
  <c r="AS75" i="1"/>
  <c r="AM73" i="1"/>
  <c r="EC72" i="1"/>
  <c r="AT71" i="1"/>
  <c r="EC69" i="1"/>
  <c r="AQ67" i="1"/>
  <c r="EJ57" i="1"/>
  <c r="AP24" i="1"/>
  <c r="EO22" i="1"/>
  <c r="DK21" i="1"/>
  <c r="AT20" i="1"/>
  <c r="AR100" i="1"/>
  <c r="AO113" i="1"/>
  <c r="AP113" i="1" s="1"/>
  <c r="EC53" i="1"/>
  <c r="AO47" i="1"/>
  <c r="EM58" i="1"/>
  <c r="AS58" i="1" s="1"/>
  <c r="AP20" i="1"/>
  <c r="DK117" i="1"/>
  <c r="DL83" i="1"/>
  <c r="AT82" i="1"/>
  <c r="DK72" i="1"/>
  <c r="EE57" i="1"/>
  <c r="AS39" i="1"/>
  <c r="DK28" i="1"/>
  <c r="AM25" i="1"/>
  <c r="DL25" i="1"/>
  <c r="DK23" i="1"/>
  <c r="AQ19" i="1"/>
  <c r="AM90" i="1"/>
  <c r="AM88" i="1"/>
  <c r="DZ73" i="1"/>
  <c r="AT77" i="1"/>
  <c r="DZ83" i="1"/>
  <c r="AT88" i="1"/>
  <c r="AM81" i="1"/>
  <c r="AS80" i="1"/>
  <c r="DK79" i="1"/>
  <c r="AM67" i="1"/>
  <c r="EC55" i="1"/>
  <c r="AO55" i="1" s="1"/>
  <c r="AM52" i="1"/>
  <c r="AN47" i="1"/>
  <c r="EO35" i="1"/>
  <c r="AP34" i="1"/>
  <c r="AS33" i="1"/>
  <c r="EO32" i="1"/>
  <c r="DL31" i="1"/>
  <c r="AN28" i="1"/>
  <c r="AM27" i="1"/>
  <c r="DK27" i="1"/>
  <c r="AT24" i="1"/>
  <c r="DL24" i="1"/>
  <c r="AN14" i="1"/>
  <c r="DL12" i="1"/>
  <c r="AS91" i="1"/>
  <c r="AS61" i="1"/>
  <c r="AS117" i="1"/>
  <c r="EC117" i="1"/>
  <c r="AT90" i="1"/>
  <c r="AS89" i="1"/>
  <c r="AS83" i="1"/>
  <c r="AR81" i="1"/>
  <c r="EC73" i="1"/>
  <c r="EC64" i="1"/>
  <c r="EC62" i="1"/>
  <c r="AN55" i="1"/>
  <c r="AN39" i="1"/>
  <c r="AN36" i="1"/>
  <c r="AQ33" i="1"/>
  <c r="AN19" i="1"/>
  <c r="EC16" i="1"/>
  <c r="AQ72" i="1"/>
  <c r="AO60" i="1"/>
  <c r="AP60" i="1" s="1"/>
  <c r="EO89" i="1"/>
  <c r="AR118" i="1"/>
  <c r="EC116" i="1"/>
  <c r="DK76" i="1"/>
  <c r="AO100" i="1"/>
  <c r="AP100" i="1" s="1"/>
  <c r="AM24" i="1"/>
  <c r="AN43" i="1"/>
  <c r="AT80" i="1"/>
  <c r="AO63" i="1"/>
  <c r="AP63" i="1" s="1"/>
  <c r="AS42" i="1"/>
  <c r="AN20" i="1"/>
  <c r="AM19" i="1"/>
  <c r="AP22" i="1"/>
  <c r="AO120" i="1"/>
  <c r="AP120" i="1" s="1"/>
  <c r="AS103" i="1"/>
  <c r="AQ101" i="1"/>
  <c r="DK94" i="1"/>
  <c r="AR78" i="1"/>
  <c r="EC65" i="1"/>
  <c r="AT60" i="1"/>
  <c r="DL59" i="1"/>
  <c r="EN57" i="1"/>
  <c r="EG57" i="1"/>
  <c r="EC52" i="1"/>
  <c r="AO52" i="1" s="1"/>
  <c r="AN38" i="1"/>
  <c r="EC30" i="1"/>
  <c r="AT22" i="1"/>
  <c r="DL10" i="1"/>
  <c r="AS66" i="1"/>
  <c r="DL115" i="1"/>
  <c r="DZ67" i="1"/>
  <c r="AO22" i="1"/>
  <c r="AQ86" i="1"/>
  <c r="DL22" i="1"/>
  <c r="AM83" i="1"/>
  <c r="AM119" i="1"/>
  <c r="DL119" i="1"/>
  <c r="AO75" i="1"/>
  <c r="AP75" i="1" s="1"/>
  <c r="EO75" i="1"/>
  <c r="AQ74" i="1"/>
  <c r="DL67" i="1"/>
  <c r="AT66" i="1"/>
  <c r="AT64" i="1"/>
  <c r="AO62" i="1"/>
  <c r="AP62" i="1" s="1"/>
  <c r="DK60" i="1"/>
  <c r="DK50" i="1"/>
  <c r="EK40" i="1"/>
  <c r="AS24" i="1"/>
  <c r="EO23" i="1"/>
  <c r="AM21" i="1"/>
  <c r="AR15" i="1"/>
  <c r="AM13" i="1"/>
  <c r="DL13" i="1"/>
  <c r="DL93" i="1"/>
  <c r="AT73" i="1"/>
  <c r="AM55" i="1"/>
  <c r="AR36" i="1"/>
  <c r="DL117" i="1"/>
  <c r="AT120" i="1"/>
  <c r="DK120" i="1"/>
  <c r="EO118" i="1"/>
  <c r="AT85" i="1"/>
  <c r="EO83" i="1"/>
  <c r="AR82" i="1"/>
  <c r="EC79" i="1"/>
  <c r="AS76" i="1"/>
  <c r="AR72" i="1"/>
  <c r="AS70" i="1"/>
  <c r="AT69" i="1"/>
  <c r="AO53" i="1"/>
  <c r="AN52" i="1"/>
  <c r="EO50" i="1"/>
  <c r="AP43" i="1"/>
  <c r="AP42" i="1"/>
  <c r="AR17" i="1"/>
  <c r="DL112" i="2"/>
  <c r="DL111" i="2"/>
  <c r="DL104" i="2"/>
  <c r="AO83" i="2"/>
  <c r="AP83" i="2" s="1"/>
  <c r="AM73" i="2"/>
  <c r="AM66" i="2"/>
  <c r="EC130" i="2"/>
  <c r="DK114" i="2"/>
  <c r="AS113" i="2"/>
  <c r="AR108" i="2"/>
  <c r="EC108" i="2"/>
  <c r="AO103" i="2"/>
  <c r="AP103" i="2" s="1"/>
  <c r="AQ90" i="2"/>
  <c r="AM84" i="2"/>
  <c r="DL84" i="2"/>
  <c r="DL58" i="2"/>
  <c r="AS55" i="2"/>
  <c r="AS53" i="2"/>
  <c r="AM118" i="2"/>
  <c r="AM107" i="2"/>
  <c r="AS104" i="2"/>
  <c r="DK103" i="2"/>
  <c r="DK35" i="2"/>
  <c r="EO126" i="2"/>
  <c r="AM81" i="2"/>
  <c r="EO89" i="2"/>
  <c r="EO108" i="2"/>
  <c r="EC85" i="2"/>
  <c r="EC84" i="2"/>
  <c r="AQ83" i="2"/>
  <c r="AS61" i="2"/>
  <c r="EC35" i="2"/>
  <c r="AS10" i="2"/>
  <c r="AO71" i="2"/>
  <c r="AP71" i="2" s="1"/>
  <c r="AM69" i="2"/>
  <c r="AO68" i="2"/>
  <c r="AP68" i="2" s="1"/>
  <c r="AM54" i="2"/>
  <c r="DK28" i="2"/>
  <c r="AS25" i="2"/>
  <c r="AR24" i="2"/>
  <c r="AR21" i="2"/>
  <c r="AO118" i="2"/>
  <c r="AP118" i="2" s="1"/>
  <c r="EC69" i="2"/>
  <c r="DL125" i="2"/>
  <c r="AO78" i="2"/>
  <c r="AP78" i="2" s="1"/>
  <c r="EO69" i="2"/>
  <c r="AO56" i="2"/>
  <c r="AP56" i="2" s="1"/>
  <c r="AR88" i="2"/>
  <c r="AS83" i="2"/>
  <c r="AM47" i="2"/>
  <c r="EC28" i="2"/>
  <c r="DL17" i="2"/>
  <c r="AQ122" i="2"/>
  <c r="EC126" i="2"/>
  <c r="EO23" i="2"/>
  <c r="EC60" i="2"/>
  <c r="AO70" i="2"/>
  <c r="AP70" i="2" s="1"/>
  <c r="AQ31" i="2"/>
  <c r="AR122" i="2"/>
  <c r="AS66" i="2"/>
  <c r="AR129" i="2"/>
  <c r="AO111" i="2"/>
  <c r="AP111" i="2" s="1"/>
  <c r="EC107" i="2"/>
  <c r="EC104" i="2"/>
  <c r="AM74" i="2"/>
  <c r="AS70" i="2"/>
  <c r="DK69" i="2"/>
  <c r="DK60" i="2"/>
  <c r="AS58" i="2"/>
  <c r="DL33" i="2"/>
  <c r="AS130" i="2"/>
  <c r="EC124" i="2"/>
  <c r="AQ66" i="2"/>
  <c r="AS80" i="2"/>
  <c r="AQ85" i="2"/>
  <c r="AS82" i="2"/>
  <c r="AQ84" i="2"/>
  <c r="AO73" i="2"/>
  <c r="AP73" i="2" s="1"/>
  <c r="AO37" i="2"/>
  <c r="AP37" i="2" s="1"/>
  <c r="EO37" i="2"/>
  <c r="DL32" i="2"/>
  <c r="DK16" i="2"/>
  <c r="AM80" i="2"/>
  <c r="DZ85" i="2"/>
  <c r="AM63" i="2"/>
  <c r="AO39" i="2"/>
  <c r="AP39" i="2" s="1"/>
  <c r="AM15" i="2"/>
  <c r="AM128" i="2"/>
  <c r="DL114" i="2"/>
  <c r="DK128" i="2"/>
  <c r="AS117" i="2"/>
  <c r="AQ114" i="2"/>
  <c r="AR111" i="2"/>
  <c r="AR104" i="2"/>
  <c r="AM88" i="2"/>
  <c r="AO84" i="2"/>
  <c r="AP84" i="2" s="1"/>
  <c r="DK78" i="2"/>
  <c r="AO32" i="2"/>
  <c r="AP32" i="2" s="1"/>
  <c r="AQ29" i="2"/>
  <c r="DK118" i="2"/>
  <c r="DZ81" i="2"/>
  <c r="DK130" i="2"/>
  <c r="AO129" i="2"/>
  <c r="AP129" i="2" s="1"/>
  <c r="AR55" i="2"/>
  <c r="AR54" i="2"/>
  <c r="AQ47" i="2"/>
  <c r="DL130" i="2"/>
  <c r="DL124" i="2"/>
  <c r="AM104" i="2"/>
  <c r="AO90" i="2"/>
  <c r="AP90" i="2" s="1"/>
  <c r="AS71" i="2"/>
  <c r="DK9" i="2"/>
  <c r="EC8" i="2"/>
  <c r="EC129" i="2"/>
  <c r="AQ107" i="2"/>
  <c r="DK33" i="2"/>
  <c r="AO58" i="2"/>
  <c r="AP58" i="2" s="1"/>
  <c r="AO125" i="2"/>
  <c r="AP125" i="2" s="1"/>
  <c r="AO123" i="2"/>
  <c r="AP123" i="2" s="1"/>
  <c r="AS122" i="2"/>
  <c r="AS107" i="2"/>
  <c r="DK107" i="2"/>
  <c r="AM89" i="2"/>
  <c r="DK84" i="2"/>
  <c r="AR66" i="2"/>
  <c r="AM55" i="2"/>
  <c r="EC29" i="2"/>
  <c r="AS20" i="2"/>
  <c r="AR13" i="2"/>
  <c r="AS129" i="2"/>
  <c r="AR31" i="2"/>
  <c r="AM58" i="2"/>
  <c r="AO122" i="2"/>
  <c r="AP122" i="2" s="1"/>
  <c r="DL127" i="2"/>
  <c r="DL118" i="2"/>
  <c r="AR72" i="2"/>
  <c r="AR70" i="2"/>
  <c r="AQ57" i="2"/>
  <c r="AS40" i="2"/>
  <c r="AO25" i="2"/>
  <c r="AP25" i="2" s="1"/>
  <c r="AS23" i="2"/>
  <c r="DK13" i="2"/>
  <c r="AS108" i="2"/>
  <c r="EO57" i="2"/>
  <c r="AM57" i="2"/>
  <c r="EC128" i="2"/>
  <c r="AR126" i="2"/>
  <c r="AQ125" i="2"/>
  <c r="AS123" i="2"/>
  <c r="AO108" i="2"/>
  <c r="AP108" i="2" s="1"/>
  <c r="AQ74" i="2"/>
  <c r="AO72" i="2"/>
  <c r="AP72" i="2" s="1"/>
  <c r="AR62" i="2"/>
  <c r="AM5" i="2"/>
  <c r="AS9" i="1"/>
  <c r="EO80" i="1"/>
  <c r="AQ114" i="1"/>
  <c r="EK41" i="1"/>
  <c r="AP35" i="1"/>
  <c r="AS60" i="1"/>
  <c r="AO39" i="1"/>
  <c r="DZ119" i="1"/>
  <c r="AM85" i="1"/>
  <c r="AR113" i="1"/>
  <c r="EC120" i="1"/>
  <c r="AT118" i="1"/>
  <c r="AR114" i="1"/>
  <c r="AQ78" i="1"/>
  <c r="DL78" i="1"/>
  <c r="AS77" i="1"/>
  <c r="EO74" i="1"/>
  <c r="AQ68" i="1"/>
  <c r="AM66" i="1"/>
  <c r="AT63" i="1"/>
  <c r="EL56" i="1"/>
  <c r="AN54" i="1"/>
  <c r="DL49" i="1"/>
  <c r="DL48" i="1"/>
  <c r="EL40" i="1"/>
  <c r="AP39" i="1"/>
  <c r="AM29" i="1"/>
  <c r="EC21" i="1"/>
  <c r="EC15" i="1"/>
  <c r="EO85" i="1"/>
  <c r="EO88" i="1"/>
  <c r="AQ64" i="1"/>
  <c r="EK56" i="1"/>
  <c r="AR28" i="1"/>
  <c r="EO28" i="1"/>
  <c r="AN23" i="1"/>
  <c r="AT114" i="1"/>
  <c r="EC113" i="1"/>
  <c r="AT109" i="1"/>
  <c r="EO103" i="1"/>
  <c r="AR102" i="1"/>
  <c r="EO102" i="1"/>
  <c r="EC81" i="1"/>
  <c r="AS79" i="1"/>
  <c r="AO77" i="1"/>
  <c r="AP77" i="1" s="1"/>
  <c r="EJ56" i="1"/>
  <c r="EO54" i="1"/>
  <c r="AM48" i="1"/>
  <c r="EJ40" i="1"/>
  <c r="AR35" i="1"/>
  <c r="EC23" i="1"/>
  <c r="AP17" i="1"/>
  <c r="AQ11" i="1"/>
  <c r="AQ42" i="1"/>
  <c r="AQ84" i="1"/>
  <c r="AS82" i="1"/>
  <c r="DL81" i="1"/>
  <c r="AM64" i="1"/>
  <c r="EI56" i="1"/>
  <c r="DL55" i="1"/>
  <c r="AN46" i="1"/>
  <c r="EO39" i="1"/>
  <c r="EO36" i="1"/>
  <c r="AT35" i="1"/>
  <c r="AP31" i="1"/>
  <c r="AT27" i="1"/>
  <c r="AO25" i="1"/>
  <c r="AM14" i="1"/>
  <c r="AS100" i="1"/>
  <c r="DK83" i="1"/>
  <c r="AS113" i="1"/>
  <c r="AN44" i="1"/>
  <c r="AO78" i="1"/>
  <c r="AP78" i="1" s="1"/>
  <c r="AO29" i="1"/>
  <c r="AR60" i="1"/>
  <c r="EO42" i="1"/>
  <c r="AP27" i="1"/>
  <c r="EO70" i="1"/>
  <c r="AQ117" i="1"/>
  <c r="AS116" i="1"/>
  <c r="AS115" i="1"/>
  <c r="EO114" i="1"/>
  <c r="AO81" i="1"/>
  <c r="AP81" i="1" s="1"/>
  <c r="AO66" i="1"/>
  <c r="AP66" i="1" s="1"/>
  <c r="EC60" i="1"/>
  <c r="EG56" i="1"/>
  <c r="EO55" i="1"/>
  <c r="AN53" i="1"/>
  <c r="DK53" i="1"/>
  <c r="DK52" i="1"/>
  <c r="AQ43" i="1"/>
  <c r="EO43" i="1"/>
  <c r="AM42" i="1"/>
  <c r="AP38" i="1"/>
  <c r="DK33" i="1"/>
  <c r="AQ32" i="1"/>
  <c r="AO24" i="1"/>
  <c r="EC8" i="1"/>
  <c r="DK90" i="1"/>
  <c r="EO53" i="1"/>
  <c r="AQ82" i="1"/>
  <c r="DL113" i="1"/>
  <c r="AO104" i="1"/>
  <c r="AP104" i="1" s="1"/>
  <c r="EO44" i="1"/>
  <c r="AF56" i="1"/>
  <c r="AQ60" i="1"/>
  <c r="S56" i="1"/>
  <c r="AT34" i="1"/>
  <c r="AM44" i="1"/>
  <c r="AT74" i="1"/>
  <c r="AQ118" i="1"/>
  <c r="AR117" i="1"/>
  <c r="AO36" i="1"/>
  <c r="AS81" i="1"/>
  <c r="AO49" i="1"/>
  <c r="AQ66" i="1"/>
  <c r="AO64" i="1"/>
  <c r="AP64" i="1" s="1"/>
  <c r="AQ87" i="1"/>
  <c r="AS78" i="1"/>
  <c r="AQ116" i="1"/>
  <c r="AQ91" i="1"/>
  <c r="AO69" i="1"/>
  <c r="AP69" i="1" s="1"/>
  <c r="AT67" i="1"/>
  <c r="EF56" i="1"/>
  <c r="AP55" i="1"/>
  <c r="AN45" i="1"/>
  <c r="EM41" i="1"/>
  <c r="AR34" i="1"/>
  <c r="DL32" i="1"/>
  <c r="AR26" i="1"/>
  <c r="AQ18" i="1"/>
  <c r="DL14" i="1"/>
  <c r="AR11" i="1"/>
  <c r="EO117" i="1"/>
  <c r="AQ39" i="1"/>
  <c r="AM74" i="1"/>
  <c r="EF41" i="1"/>
  <c r="EM56" i="1"/>
  <c r="AP44" i="1"/>
  <c r="AS36" i="1"/>
  <c r="AO50" i="1"/>
  <c r="AR64" i="1"/>
  <c r="AR120" i="1"/>
  <c r="EO120" i="1"/>
  <c r="AO119" i="1"/>
  <c r="AP119" i="1" s="1"/>
  <c r="EO116" i="1"/>
  <c r="DL96" i="1"/>
  <c r="DL91" i="1"/>
  <c r="AM87" i="1"/>
  <c r="EC77" i="1"/>
  <c r="AO72" i="1"/>
  <c r="AP72" i="1" s="1"/>
  <c r="DL72" i="1"/>
  <c r="AQ63" i="1"/>
  <c r="EO60" i="1"/>
  <c r="DK59" i="1"/>
  <c r="EL41" i="1"/>
  <c r="AR39" i="1"/>
  <c r="DL30" i="1"/>
  <c r="DK18" i="1"/>
  <c r="DZ113" i="1"/>
  <c r="AT113" i="1"/>
  <c r="AS43" i="1"/>
  <c r="DZ60" i="1"/>
  <c r="AM72" i="1"/>
  <c r="EO78" i="1"/>
  <c r="AQ113" i="1"/>
  <c r="DK113" i="1"/>
  <c r="DL79" i="1"/>
  <c r="AQ104" i="1"/>
  <c r="AO90" i="1"/>
  <c r="AP90" i="1" s="1"/>
  <c r="AQ90" i="1"/>
  <c r="AR90" i="1"/>
  <c r="AS90" i="1"/>
  <c r="AM84" i="1"/>
  <c r="AQ71" i="1"/>
  <c r="AQ70" i="1"/>
  <c r="AR70" i="1"/>
  <c r="EC70" i="1"/>
  <c r="EO69" i="1"/>
  <c r="AS69" i="1"/>
  <c r="DZ68" i="1"/>
  <c r="AM68" i="1"/>
  <c r="AT68" i="1"/>
  <c r="AR67" i="1"/>
  <c r="AO67" i="1"/>
  <c r="AP67" i="1" s="1"/>
  <c r="AM51" i="1"/>
  <c r="AO45" i="1"/>
  <c r="EO33" i="1"/>
  <c r="AO17" i="1"/>
  <c r="DK73" i="1"/>
  <c r="DL73" i="1"/>
  <c r="AQ69" i="1"/>
  <c r="AR69" i="1"/>
  <c r="AF58" i="1"/>
  <c r="EG58" i="1"/>
  <c r="DZ46" i="1"/>
  <c r="AO46" i="1" s="1"/>
  <c r="AP36" i="1"/>
  <c r="DK30" i="1"/>
  <c r="AQ16" i="1"/>
  <c r="EO87" i="1"/>
  <c r="AQ62" i="1"/>
  <c r="AM62" i="1"/>
  <c r="EO30" i="1"/>
  <c r="DK111" i="1"/>
  <c r="DL111" i="1"/>
  <c r="EO113" i="1"/>
  <c r="EO71" i="1"/>
  <c r="AO118" i="1"/>
  <c r="AP118" i="1" s="1"/>
  <c r="EO77" i="1"/>
  <c r="AR75" i="1"/>
  <c r="EC75" i="1"/>
  <c r="EO73" i="1"/>
  <c r="EO63" i="1"/>
  <c r="AO43" i="1"/>
  <c r="AQ37" i="1"/>
  <c r="AT37" i="1"/>
  <c r="AP37" i="1"/>
  <c r="AM37" i="1"/>
  <c r="AS16" i="1"/>
  <c r="AR16" i="1"/>
  <c r="AO91" i="1"/>
  <c r="AP91" i="1" s="1"/>
  <c r="EO90" i="1"/>
  <c r="EO86" i="1"/>
  <c r="AO83" i="1"/>
  <c r="AP83" i="1" s="1"/>
  <c r="AR83" i="1"/>
  <c r="AO48" i="1"/>
  <c r="AN42" i="1"/>
  <c r="AR42" i="1"/>
  <c r="AO34" i="1"/>
  <c r="AO30" i="1"/>
  <c r="AR30" i="1"/>
  <c r="AN30" i="1"/>
  <c r="AM115" i="1"/>
  <c r="EO115" i="1"/>
  <c r="AM120" i="1"/>
  <c r="AQ120" i="1"/>
  <c r="AQ25" i="1"/>
  <c r="AT26" i="1"/>
  <c r="EO72" i="1"/>
  <c r="AS71" i="1"/>
  <c r="AT25" i="1"/>
  <c r="AS102" i="1"/>
  <c r="EO26" i="1"/>
  <c r="AT115" i="1"/>
  <c r="AR68" i="1"/>
  <c r="AR23" i="1"/>
  <c r="AT119" i="1"/>
  <c r="DZ118" i="1"/>
  <c r="EC118" i="1"/>
  <c r="AQ100" i="1"/>
  <c r="AS99" i="1"/>
  <c r="EO79" i="1"/>
  <c r="DK48" i="1"/>
  <c r="EO38" i="1"/>
  <c r="AR32" i="1"/>
  <c r="AO32" i="1"/>
  <c r="AT16" i="1"/>
  <c r="AS120" i="1"/>
  <c r="AP26" i="1"/>
  <c r="AQ83" i="1"/>
  <c r="AS74" i="1"/>
  <c r="EO47" i="1"/>
  <c r="DL118" i="1"/>
  <c r="DL97" i="1"/>
  <c r="EO91" i="1"/>
  <c r="AO88" i="1"/>
  <c r="AP88" i="1" s="1"/>
  <c r="AR88" i="1"/>
  <c r="AO87" i="1"/>
  <c r="AP87" i="1" s="1"/>
  <c r="AS87" i="1"/>
  <c r="AS86" i="1"/>
  <c r="AO86" i="1"/>
  <c r="AP86" i="1" s="1"/>
  <c r="EO81" i="1"/>
  <c r="AS68" i="1"/>
  <c r="EO64" i="1"/>
  <c r="AF41" i="1"/>
  <c r="S41" i="1"/>
  <c r="EG41" i="1"/>
  <c r="EH41" i="1"/>
  <c r="EN41" i="1"/>
  <c r="AN37" i="1"/>
  <c r="DK29" i="1"/>
  <c r="AP25" i="1"/>
  <c r="AQ24" i="1"/>
  <c r="AN24" i="1"/>
  <c r="EO104" i="1"/>
  <c r="AS104" i="1"/>
  <c r="AQ115" i="1"/>
  <c r="AR85" i="1"/>
  <c r="AQ85" i="1"/>
  <c r="AS57" i="1"/>
  <c r="AQ23" i="1"/>
  <c r="EO25" i="1"/>
  <c r="AM91" i="1"/>
  <c r="DZ72" i="1"/>
  <c r="AO85" i="1"/>
  <c r="AP85" i="1" s="1"/>
  <c r="AM113" i="1"/>
  <c r="EO68" i="1"/>
  <c r="AT19" i="1"/>
  <c r="DK24" i="1"/>
  <c r="EO27" i="1"/>
  <c r="AQ102" i="1"/>
  <c r="EO100" i="1"/>
  <c r="DZ89" i="1"/>
  <c r="AM89" i="1"/>
  <c r="AT86" i="1"/>
  <c r="DZ86" i="1"/>
  <c r="AR84" i="1"/>
  <c r="EO82" i="1"/>
  <c r="AT81" i="1"/>
  <c r="AO73" i="1"/>
  <c r="AP73" i="1" s="1"/>
  <c r="AQ73" i="1"/>
  <c r="AS73" i="1"/>
  <c r="AN29" i="1"/>
  <c r="AS29" i="1"/>
  <c r="DK20" i="1"/>
  <c r="DL20" i="1"/>
  <c r="EO15" i="1"/>
  <c r="AR14" i="1"/>
  <c r="AR119" i="1"/>
  <c r="EO119" i="1"/>
  <c r="EC119" i="1"/>
  <c r="DK116" i="1"/>
  <c r="EC115" i="1"/>
  <c r="AO109" i="1"/>
  <c r="AP109" i="1" s="1"/>
  <c r="AM100" i="1"/>
  <c r="DK78" i="1"/>
  <c r="DK77" i="1"/>
  <c r="EC63" i="1"/>
  <c r="DK61" i="1"/>
  <c r="AN48" i="1"/>
  <c r="DL47" i="1"/>
  <c r="DL46" i="1"/>
  <c r="AT43" i="1"/>
  <c r="EN40" i="1"/>
  <c r="AM39" i="1"/>
  <c r="AN31" i="1"/>
  <c r="DK26" i="1"/>
  <c r="AN21" i="1"/>
  <c r="AO19" i="1"/>
  <c r="EC13" i="1"/>
  <c r="AT9" i="1"/>
  <c r="AR27" i="1"/>
  <c r="AR25" i="1"/>
  <c r="AQ15" i="1"/>
  <c r="AQ12" i="1"/>
  <c r="AQ8" i="1"/>
  <c r="AT32" i="1"/>
  <c r="EC28" i="1"/>
  <c r="EC25" i="1"/>
  <c r="AP23" i="1"/>
  <c r="AN12" i="1"/>
  <c r="DK12" i="1"/>
  <c r="AO10" i="1"/>
  <c r="EO10" i="1"/>
  <c r="EC14" i="1"/>
  <c r="AM12" i="1"/>
  <c r="AM11" i="1"/>
  <c r="DL11" i="1"/>
  <c r="AR10" i="1"/>
  <c r="EC10" i="1"/>
  <c r="AS118" i="1"/>
  <c r="AT117" i="1"/>
  <c r="AR116" i="1"/>
  <c r="AR104" i="1"/>
  <c r="AO102" i="1"/>
  <c r="AP102" i="1" s="1"/>
  <c r="AS101" i="1"/>
  <c r="AM99" i="1"/>
  <c r="DK97" i="1"/>
  <c r="AM82" i="1"/>
  <c r="EC78" i="1"/>
  <c r="EO62" i="1"/>
  <c r="AR61" i="1"/>
  <c r="EO61" i="1"/>
  <c r="EG40" i="1"/>
  <c r="EC32" i="1"/>
  <c r="AQ30" i="1"/>
  <c r="AN27" i="1"/>
  <c r="AQ20" i="1"/>
  <c r="DK19" i="1"/>
  <c r="AM15" i="1"/>
  <c r="DK13" i="1"/>
  <c r="AP12" i="1"/>
  <c r="DK7" i="1"/>
  <c r="AN25" i="1"/>
  <c r="DK119" i="1"/>
  <c r="AO116" i="1"/>
  <c r="AP116" i="1" s="1"/>
  <c r="AM109" i="1"/>
  <c r="AR103" i="1"/>
  <c r="AO101" i="1"/>
  <c r="AP101" i="1" s="1"/>
  <c r="DK93" i="1"/>
  <c r="AT91" i="1"/>
  <c r="DZ91" i="1"/>
  <c r="DL90" i="1"/>
  <c r="AT87" i="1"/>
  <c r="DZ82" i="1"/>
  <c r="AO71" i="1"/>
  <c r="AP71" i="1" s="1"/>
  <c r="DL68" i="1"/>
  <c r="DL53" i="1"/>
  <c r="AN50" i="1"/>
  <c r="EO48" i="1"/>
  <c r="EE40" i="1"/>
  <c r="AS40" i="1" s="1"/>
  <c r="AR37" i="1"/>
  <c r="AQ34" i="1"/>
  <c r="AM23" i="1"/>
  <c r="EC22" i="1"/>
  <c r="AT15" i="1"/>
  <c r="AP11" i="1"/>
  <c r="AQ27" i="1"/>
  <c r="AM116" i="1"/>
  <c r="AO115" i="1"/>
  <c r="AP115" i="1" s="1"/>
  <c r="AS114" i="1"/>
  <c r="EO109" i="1"/>
  <c r="AT104" i="1"/>
  <c r="AT101" i="1"/>
  <c r="DK91" i="1"/>
  <c r="AO89" i="1"/>
  <c r="AP89" i="1" s="1"/>
  <c r="AS88" i="1"/>
  <c r="AS85" i="1"/>
  <c r="AQ80" i="1"/>
  <c r="AM71" i="1"/>
  <c r="EC61" i="1"/>
  <c r="DK55" i="1"/>
  <c r="DL52" i="1"/>
  <c r="AM50" i="1"/>
  <c r="AP50" i="1"/>
  <c r="AM45" i="1"/>
  <c r="AR38" i="1"/>
  <c r="AS32" i="1"/>
  <c r="EC26" i="1"/>
  <c r="AS18" i="1"/>
  <c r="DL17" i="1"/>
  <c r="AP16" i="1"/>
  <c r="DK14" i="1"/>
  <c r="AR7" i="1"/>
  <c r="DL116" i="1"/>
  <c r="AR101" i="1"/>
  <c r="AT99" i="1"/>
  <c r="AO84" i="1"/>
  <c r="AP84" i="1" s="1"/>
  <c r="EO84" i="1"/>
  <c r="DL82" i="1"/>
  <c r="AM80" i="1"/>
  <c r="AO80" i="1"/>
  <c r="AP80" i="1" s="1"/>
  <c r="AQ75" i="1"/>
  <c r="AT72" i="1"/>
  <c r="AQ65" i="1"/>
  <c r="EO31" i="1"/>
  <c r="AM31" i="1"/>
  <c r="AT23" i="1"/>
  <c r="EO14" i="1"/>
  <c r="AQ103" i="1"/>
  <c r="AT76" i="1"/>
  <c r="DZ76" i="1"/>
  <c r="AM76" i="1"/>
  <c r="EO67" i="1"/>
  <c r="DK54" i="1"/>
  <c r="DL54" i="1"/>
  <c r="AO33" i="1"/>
  <c r="AT31" i="1"/>
  <c r="AM30" i="1"/>
  <c r="AM28" i="1"/>
  <c r="AP28" i="1"/>
  <c r="AQ109" i="1"/>
  <c r="AO103" i="1"/>
  <c r="AP103" i="1" s="1"/>
  <c r="DL94" i="1"/>
  <c r="DZ87" i="1"/>
  <c r="EC66" i="1"/>
  <c r="AO65" i="1"/>
  <c r="AP65" i="1" s="1"/>
  <c r="AQ61" i="1"/>
  <c r="AM33" i="1"/>
  <c r="AP33" i="1"/>
  <c r="AP29" i="1"/>
  <c r="AT29" i="1"/>
  <c r="AN26" i="1"/>
  <c r="DL120" i="1"/>
  <c r="AR115" i="1"/>
  <c r="DL114" i="1"/>
  <c r="AM103" i="1"/>
  <c r="AM101" i="1"/>
  <c r="AT89" i="1"/>
  <c r="AT84" i="1"/>
  <c r="EC80" i="1"/>
  <c r="AQ79" i="1"/>
  <c r="AM79" i="1"/>
  <c r="AR77" i="1"/>
  <c r="AR73" i="1"/>
  <c r="EK58" i="1"/>
  <c r="AQ35" i="1"/>
  <c r="AN34" i="1"/>
  <c r="AS84" i="1"/>
  <c r="DL77" i="1"/>
  <c r="EJ58" i="1"/>
  <c r="EO51" i="1"/>
  <c r="AM38" i="1"/>
  <c r="AQ38" i="1"/>
  <c r="AT36" i="1"/>
  <c r="AM36" i="1"/>
  <c r="AS15" i="1"/>
  <c r="AO15" i="1"/>
  <c r="DZ120" i="1"/>
  <c r="DZ114" i="1"/>
  <c r="AQ99" i="1"/>
  <c r="AO79" i="1"/>
  <c r="AP79" i="1" s="1"/>
  <c r="AR79" i="1"/>
  <c r="AQ76" i="1"/>
  <c r="AO74" i="1"/>
  <c r="AP74" i="1" s="1"/>
  <c r="AR74" i="1"/>
  <c r="EC71" i="1"/>
  <c r="AO70" i="1"/>
  <c r="AP70" i="1" s="1"/>
  <c r="DK68" i="1"/>
  <c r="AS62" i="1"/>
  <c r="AM61" i="1"/>
  <c r="DZ61" i="1"/>
  <c r="AT61" i="1"/>
  <c r="DL61" i="1"/>
  <c r="AS37" i="1"/>
  <c r="AQ31" i="1"/>
  <c r="EC24" i="1"/>
  <c r="AS20" i="1"/>
  <c r="AT116" i="1"/>
  <c r="EO99" i="1"/>
  <c r="AS109" i="1"/>
  <c r="AS119" i="1"/>
  <c r="AR80" i="1"/>
  <c r="AT79" i="1"/>
  <c r="AT75" i="1"/>
  <c r="AM75" i="1"/>
  <c r="AR65" i="1"/>
  <c r="AT62" i="1"/>
  <c r="EO49" i="1"/>
  <c r="AN35" i="1"/>
  <c r="AM34" i="1"/>
  <c r="AS31" i="1"/>
  <c r="AQ28" i="1"/>
  <c r="AT28" i="1"/>
  <c r="AQ119" i="1"/>
  <c r="AM118" i="1"/>
  <c r="EO101" i="1"/>
  <c r="DZ78" i="1"/>
  <c r="AT78" i="1"/>
  <c r="EO76" i="1"/>
  <c r="DL76" i="1"/>
  <c r="EI58" i="1"/>
  <c r="DZ58" i="1" s="1"/>
  <c r="S58" i="1"/>
  <c r="EO52" i="1"/>
  <c r="EO45" i="1"/>
  <c r="AO31" i="1"/>
  <c r="AR31" i="1"/>
  <c r="AO28" i="1"/>
  <c r="AS28" i="1"/>
  <c r="AQ26" i="1"/>
  <c r="EO21" i="1"/>
  <c r="AP15" i="1"/>
  <c r="AN15" i="1"/>
  <c r="AT13" i="1"/>
  <c r="DK10" i="1"/>
  <c r="AP13" i="1"/>
  <c r="AQ14" i="1"/>
  <c r="AT12" i="1"/>
  <c r="DL23" i="1"/>
  <c r="AO14" i="1"/>
  <c r="AS19" i="1"/>
  <c r="AQ128" i="2"/>
  <c r="AM117" i="2"/>
  <c r="DK127" i="2"/>
  <c r="DZ117" i="2"/>
  <c r="DL117" i="2"/>
  <c r="AQ111" i="2"/>
  <c r="AQ78" i="2"/>
  <c r="AR68" i="2"/>
  <c r="AM64" i="2"/>
  <c r="AM61" i="2"/>
  <c r="EO56" i="2"/>
  <c r="AM45" i="2"/>
  <c r="AS42" i="2"/>
  <c r="EO16" i="2"/>
  <c r="DL16" i="2"/>
  <c r="DL12" i="2"/>
  <c r="DL7" i="2"/>
  <c r="AR125" i="2"/>
  <c r="EO50" i="2"/>
  <c r="AR43" i="2"/>
  <c r="AQ130" i="2"/>
  <c r="EO129" i="2"/>
  <c r="AS90" i="2"/>
  <c r="AO85" i="2"/>
  <c r="AP85" i="2" s="1"/>
  <c r="AM83" i="2"/>
  <c r="AQ82" i="2"/>
  <c r="AS68" i="2"/>
  <c r="AR67" i="2"/>
  <c r="EO60" i="2"/>
  <c r="EO28" i="2"/>
  <c r="EO130" i="2"/>
  <c r="AO115" i="2"/>
  <c r="AP115" i="2" s="1"/>
  <c r="EO114" i="2"/>
  <c r="EO90" i="2"/>
  <c r="AO89" i="2"/>
  <c r="AP89" i="2" s="1"/>
  <c r="AR84" i="2"/>
  <c r="AQ81" i="2"/>
  <c r="AO75" i="2"/>
  <c r="AP75" i="2" s="1"/>
  <c r="AR41" i="2"/>
  <c r="AS38" i="2"/>
  <c r="AR33" i="2"/>
  <c r="AQ25" i="2"/>
  <c r="AO23" i="2"/>
  <c r="AP23" i="2" s="1"/>
  <c r="AR130" i="2"/>
  <c r="EC123" i="2"/>
  <c r="DL115" i="2"/>
  <c r="AR76" i="2"/>
  <c r="EO40" i="2"/>
  <c r="EO38" i="2"/>
  <c r="DK29" i="2"/>
  <c r="EO127" i="2"/>
  <c r="DK126" i="2"/>
  <c r="EO125" i="2"/>
  <c r="DK123" i="2"/>
  <c r="AQ118" i="2"/>
  <c r="AS115" i="2"/>
  <c r="AS103" i="2"/>
  <c r="DL103" i="2"/>
  <c r="AR83" i="2"/>
  <c r="AS81" i="2"/>
  <c r="AM68" i="2"/>
  <c r="AO67" i="2"/>
  <c r="AP67" i="2" s="1"/>
  <c r="EO63" i="2"/>
  <c r="AO61" i="2"/>
  <c r="AP61" i="2" s="1"/>
  <c r="AS44" i="2"/>
  <c r="AS36" i="2"/>
  <c r="AS35" i="2"/>
  <c r="AR29" i="2"/>
  <c r="DL29" i="2"/>
  <c r="AR15" i="2"/>
  <c r="AQ11" i="2"/>
  <c r="AQ88" i="2"/>
  <c r="AO130" i="2"/>
  <c r="AP130" i="2" s="1"/>
  <c r="EO84" i="2"/>
  <c r="DL128" i="2"/>
  <c r="AO117" i="2"/>
  <c r="AP117" i="2" s="1"/>
  <c r="DL110" i="2"/>
  <c r="EO85" i="2"/>
  <c r="AQ71" i="2"/>
  <c r="DL60" i="2"/>
  <c r="AQ58" i="2"/>
  <c r="AM53" i="2"/>
  <c r="AQ49" i="2"/>
  <c r="AO45" i="2"/>
  <c r="AP45" i="2" s="1"/>
  <c r="AR37" i="2"/>
  <c r="AR8" i="2"/>
  <c r="EO7" i="2"/>
  <c r="AS5" i="2"/>
  <c r="DK111" i="2"/>
  <c r="DZ104" i="2"/>
  <c r="EO128" i="2"/>
  <c r="AM127" i="2"/>
  <c r="EO88" i="2"/>
  <c r="DL78" i="2"/>
  <c r="EO71" i="2"/>
  <c r="AM65" i="2"/>
  <c r="AO64" i="2"/>
  <c r="AP64" i="2" s="1"/>
  <c r="AQ62" i="2"/>
  <c r="DZ61" i="2"/>
  <c r="DZ45" i="2"/>
  <c r="AS43" i="2"/>
  <c r="AR36" i="2"/>
  <c r="AO20" i="2"/>
  <c r="AP20" i="2" s="1"/>
  <c r="AM18" i="2"/>
  <c r="EO12" i="2"/>
  <c r="AO8" i="2"/>
  <c r="AP8" i="2" s="1"/>
  <c r="EO75" i="2"/>
  <c r="AR75" i="2"/>
  <c r="AM36" i="2"/>
  <c r="AO36" i="2"/>
  <c r="AP36" i="2" s="1"/>
  <c r="AS65" i="2"/>
  <c r="AS114" i="2"/>
  <c r="EO80" i="2"/>
  <c r="AR80" i="2"/>
  <c r="AQ33" i="2"/>
  <c r="AM33" i="2"/>
  <c r="AS33" i="2"/>
  <c r="AO33" i="2"/>
  <c r="AP33" i="2" s="1"/>
  <c r="AS29" i="2"/>
  <c r="DL18" i="2"/>
  <c r="DK18" i="2"/>
  <c r="EO111" i="2"/>
  <c r="AQ36" i="2"/>
  <c r="AR42" i="2"/>
  <c r="DZ114" i="2"/>
  <c r="AR60" i="2"/>
  <c r="AR123" i="2"/>
  <c r="AQ28" i="2"/>
  <c r="DZ28" i="2"/>
  <c r="AO7" i="2"/>
  <c r="AP7" i="2" s="1"/>
  <c r="AQ64" i="2"/>
  <c r="AM42" i="2"/>
  <c r="AQ43" i="2"/>
  <c r="AR90" i="2"/>
  <c r="EO118" i="2"/>
  <c r="EO78" i="2"/>
  <c r="AR71" i="2"/>
  <c r="AQ63" i="2"/>
  <c r="AS63" i="2"/>
  <c r="AO62" i="2"/>
  <c r="AP62" i="2" s="1"/>
  <c r="DL35" i="2"/>
  <c r="EO20" i="2"/>
  <c r="AR20" i="2"/>
  <c r="AM129" i="2"/>
  <c r="EO29" i="2"/>
  <c r="EO72" i="2"/>
  <c r="AM108" i="2"/>
  <c r="AR74" i="2"/>
  <c r="EO81" i="2"/>
  <c r="EO53" i="2"/>
  <c r="AR64" i="2"/>
  <c r="AQ104" i="2"/>
  <c r="EO43" i="2"/>
  <c r="AM130" i="2"/>
  <c r="AS125" i="2"/>
  <c r="EC125" i="2"/>
  <c r="DL123" i="2"/>
  <c r="EO122" i="2"/>
  <c r="EO107" i="2"/>
  <c r="AO104" i="2"/>
  <c r="AP104" i="2" s="1"/>
  <c r="AM62" i="2"/>
  <c r="AS62" i="2"/>
  <c r="AQ35" i="2"/>
  <c r="AO35" i="2"/>
  <c r="AP35" i="2" s="1"/>
  <c r="AO12" i="2"/>
  <c r="AP12" i="2" s="1"/>
  <c r="AR11" i="2"/>
  <c r="EO10" i="2"/>
  <c r="AO9" i="2"/>
  <c r="AP9" i="2" s="1"/>
  <c r="AS76" i="2"/>
  <c r="DZ76" i="2"/>
  <c r="AM76" i="2"/>
  <c r="AM29" i="2"/>
  <c r="AR113" i="2"/>
  <c r="AO113" i="2"/>
  <c r="AP113" i="2" s="1"/>
  <c r="AR39" i="2"/>
  <c r="EO39" i="2"/>
  <c r="DZ40" i="2"/>
  <c r="EC127" i="2"/>
  <c r="EO76" i="2"/>
  <c r="AQ67" i="2"/>
  <c r="EO67" i="2"/>
  <c r="AM67" i="2"/>
  <c r="AR7" i="2"/>
  <c r="AM114" i="2"/>
  <c r="AQ117" i="2"/>
  <c r="AQ61" i="2"/>
  <c r="DK57" i="2"/>
  <c r="DL57" i="2"/>
  <c r="AO50" i="2"/>
  <c r="AM50" i="2"/>
  <c r="AO49" i="2"/>
  <c r="AP49" i="2" s="1"/>
  <c r="EO64" i="2"/>
  <c r="AQ73" i="2"/>
  <c r="AQ113" i="2"/>
  <c r="AS50" i="2"/>
  <c r="AQ54" i="2"/>
  <c r="AS74" i="2"/>
  <c r="EO82" i="2"/>
  <c r="AQ76" i="2"/>
  <c r="AQ56" i="2"/>
  <c r="AS56" i="2"/>
  <c r="AM56" i="2"/>
  <c r="AO53" i="2"/>
  <c r="AQ40" i="2"/>
  <c r="EO35" i="2"/>
  <c r="AO16" i="2"/>
  <c r="AP16" i="2" s="1"/>
  <c r="AQ16" i="2"/>
  <c r="AQ65" i="2"/>
  <c r="EO8" i="2"/>
  <c r="EO33" i="2"/>
  <c r="AM113" i="2"/>
  <c r="AQ50" i="2"/>
  <c r="AR63" i="2"/>
  <c r="AQ15" i="2"/>
  <c r="AM10" i="2"/>
  <c r="DZ129" i="2"/>
  <c r="AM103" i="2"/>
  <c r="AQ103" i="2"/>
  <c r="AM70" i="2"/>
  <c r="DZ70" i="2"/>
  <c r="EO62" i="2"/>
  <c r="AS49" i="2"/>
  <c r="AS17" i="2"/>
  <c r="AO17" i="2"/>
  <c r="AP17" i="2" s="1"/>
  <c r="AQ12" i="2"/>
  <c r="EO11" i="2"/>
  <c r="AM11" i="2"/>
  <c r="AR115" i="2"/>
  <c r="DZ113" i="2"/>
  <c r="DZ20" i="2"/>
  <c r="AR82" i="2"/>
  <c r="AQ45" i="2"/>
  <c r="EO41" i="2"/>
  <c r="AQ89" i="2"/>
  <c r="AS111" i="2"/>
  <c r="AQ123" i="2"/>
  <c r="EO113" i="2"/>
  <c r="EO104" i="2"/>
  <c r="DL85" i="2"/>
  <c r="EO54" i="2"/>
  <c r="AM37" i="2"/>
  <c r="AS37" i="2"/>
  <c r="AR25" i="2"/>
  <c r="EO25" i="2"/>
  <c r="AM21" i="2"/>
  <c r="AS21" i="2"/>
  <c r="EO17" i="2"/>
  <c r="AQ7" i="2"/>
  <c r="AR49" i="2"/>
  <c r="EO5" i="2"/>
  <c r="AQ129" i="2"/>
  <c r="AS126" i="2"/>
  <c r="DZ126" i="2"/>
  <c r="AM126" i="2"/>
  <c r="AR103" i="2"/>
  <c r="EO58" i="2"/>
  <c r="AQ42" i="2"/>
  <c r="AR38" i="2"/>
  <c r="AR12" i="2"/>
  <c r="DL47" i="2"/>
  <c r="DK47" i="2"/>
  <c r="EO74" i="2"/>
  <c r="EO65" i="2"/>
  <c r="AR65" i="2"/>
  <c r="AR89" i="2"/>
  <c r="DZ78" i="2"/>
  <c r="AM78" i="2"/>
  <c r="AS78" i="2"/>
  <c r="AQ108" i="2"/>
  <c r="EO21" i="2"/>
  <c r="AO47" i="2"/>
  <c r="AP47" i="2" s="1"/>
  <c r="AS28" i="2"/>
  <c r="DK125" i="2"/>
  <c r="DL108" i="2"/>
  <c r="DK108" i="2"/>
  <c r="AR107" i="2"/>
  <c r="AO107" i="2"/>
  <c r="AP107" i="2" s="1"/>
  <c r="AR81" i="2"/>
  <c r="AQ80" i="2"/>
  <c r="AO80" i="2"/>
  <c r="AP80" i="2" s="1"/>
  <c r="AM75" i="2"/>
  <c r="AS75" i="2"/>
  <c r="EO70" i="2"/>
  <c r="AR69" i="2"/>
  <c r="AO69" i="2"/>
  <c r="AP69" i="2" s="1"/>
  <c r="AO65" i="2"/>
  <c r="AP65" i="2" s="1"/>
  <c r="AM60" i="2"/>
  <c r="DZ60" i="2"/>
  <c r="AS60" i="2"/>
  <c r="AQ60" i="2"/>
  <c r="AR56" i="2"/>
  <c r="AO29" i="2"/>
  <c r="AP29" i="2" s="1"/>
  <c r="AQ21" i="2"/>
  <c r="AO127" i="2"/>
  <c r="AP127" i="2" s="1"/>
  <c r="EC103" i="2"/>
  <c r="AQ38" i="2"/>
  <c r="AM38" i="2"/>
  <c r="DZ38" i="2"/>
  <c r="EO36" i="2"/>
  <c r="AO13" i="2"/>
  <c r="AP13" i="2" s="1"/>
  <c r="AM13" i="2"/>
  <c r="AM12" i="2"/>
  <c r="AS12" i="2"/>
  <c r="EO13" i="2"/>
  <c r="EO115" i="2"/>
  <c r="AQ127" i="2"/>
  <c r="DZ127" i="2"/>
  <c r="AR114" i="2"/>
  <c r="AO81" i="2"/>
  <c r="AP81" i="2" s="1"/>
  <c r="AO42" i="2"/>
  <c r="AP42" i="2" s="1"/>
  <c r="EO31" i="2"/>
  <c r="AM40" i="2"/>
  <c r="EO15" i="2"/>
  <c r="AQ5" i="2"/>
  <c r="AR127" i="2"/>
  <c r="EO123" i="2"/>
  <c r="AQ44" i="2"/>
  <c r="AM44" i="2"/>
  <c r="AO41" i="2"/>
  <c r="AP41" i="2" s="1"/>
  <c r="AQ41" i="2"/>
  <c r="AQ20" i="2"/>
  <c r="AM20" i="2"/>
  <c r="EO14" i="2"/>
  <c r="AS13" i="2"/>
  <c r="DZ5" i="2"/>
  <c r="AO38" i="2"/>
  <c r="AP38" i="2" s="1"/>
  <c r="AO128" i="2"/>
  <c r="AP128" i="2" s="1"/>
  <c r="AM111" i="2"/>
  <c r="DZ111" i="2"/>
  <c r="AR73" i="2"/>
  <c r="EO73" i="2"/>
  <c r="AQ72" i="2"/>
  <c r="AM72" i="2"/>
  <c r="EO68" i="2"/>
  <c r="EO66" i="2"/>
  <c r="AO60" i="2"/>
  <c r="AP60" i="2" s="1"/>
  <c r="AR45" i="2"/>
  <c r="EO45" i="2"/>
  <c r="EO42" i="2"/>
  <c r="AQ32" i="2"/>
  <c r="AM32" i="2"/>
  <c r="AO24" i="2"/>
  <c r="AP24" i="2" s="1"/>
  <c r="AM24" i="2"/>
  <c r="AQ24" i="2"/>
  <c r="AR18" i="2"/>
  <c r="EO18" i="2"/>
  <c r="AS67" i="2"/>
  <c r="EO61" i="2"/>
  <c r="AR117" i="2"/>
  <c r="AR23" i="2"/>
  <c r="AO63" i="2"/>
  <c r="AP63" i="2" s="1"/>
  <c r="AQ37" i="2"/>
  <c r="AS127" i="2"/>
  <c r="DZ118" i="2"/>
  <c r="AS118" i="2"/>
  <c r="EO117" i="2"/>
  <c r="AO114" i="2"/>
  <c r="AP114" i="2" s="1"/>
  <c r="DL113" i="2"/>
  <c r="DK113" i="2"/>
  <c r="AO74" i="2"/>
  <c r="AP74" i="2" s="1"/>
  <c r="AQ69" i="2"/>
  <c r="DK56" i="2"/>
  <c r="AO55" i="2"/>
  <c r="EO49" i="2"/>
  <c r="EO47" i="2"/>
  <c r="EO44" i="2"/>
  <c r="AO43" i="2"/>
  <c r="AP43" i="2" s="1"/>
  <c r="EO32" i="2"/>
  <c r="AR32" i="2"/>
  <c r="DZ29" i="2"/>
  <c r="AS8" i="2"/>
  <c r="AS64" i="2"/>
  <c r="DZ47" i="2"/>
  <c r="AQ55" i="2"/>
  <c r="AM123" i="2"/>
  <c r="AS89" i="2"/>
  <c r="AO66" i="2"/>
  <c r="AP66" i="2" s="1"/>
  <c r="AO88" i="2"/>
  <c r="AP88" i="2" s="1"/>
  <c r="AO57" i="2"/>
  <c r="AP57" i="2" s="1"/>
  <c r="AR85" i="2"/>
  <c r="EO103" i="2"/>
  <c r="AS84" i="2"/>
  <c r="AQ68" i="2"/>
  <c r="AQ115" i="2"/>
  <c r="AS88" i="2"/>
  <c r="EO83" i="2"/>
  <c r="AQ57" i="1" l="1"/>
  <c r="AN40" i="1"/>
  <c r="AR81" i="3"/>
  <c r="AS81" i="3"/>
  <c r="AO81" i="3"/>
  <c r="AP81" i="3" s="1"/>
  <c r="AQ81" i="3"/>
  <c r="AM81" i="3"/>
  <c r="AT81" i="3"/>
  <c r="AO56" i="1"/>
  <c r="AO58" i="1"/>
  <c r="AN56" i="1"/>
  <c r="EO57" i="1"/>
  <c r="AO57" i="1"/>
  <c r="AR57" i="1"/>
  <c r="EO41" i="1"/>
  <c r="AQ56" i="1"/>
  <c r="AR56" i="1"/>
  <c r="AQ41" i="1"/>
  <c r="AS41" i="1"/>
  <c r="AN57" i="1"/>
  <c r="AT56" i="1"/>
  <c r="AS56" i="1"/>
  <c r="AR58" i="1"/>
  <c r="AM57" i="1"/>
  <c r="AT57" i="1"/>
  <c r="AO41" i="1"/>
  <c r="AP57" i="1"/>
  <c r="AP56" i="1"/>
  <c r="EO56" i="1"/>
  <c r="AM56" i="1"/>
  <c r="AQ40" i="1"/>
  <c r="AQ58" i="1"/>
  <c r="AO40" i="1"/>
  <c r="EO40" i="1"/>
  <c r="AP41" i="1"/>
  <c r="AN41" i="1"/>
  <c r="AR41" i="1"/>
  <c r="AM41" i="1"/>
  <c r="AN58" i="1"/>
  <c r="AT40" i="1"/>
  <c r="AM40" i="1"/>
  <c r="AP40" i="1"/>
  <c r="AT41" i="1"/>
  <c r="AR40" i="1"/>
  <c r="AT58" i="1"/>
  <c r="AP58" i="1"/>
  <c r="AM58" i="1"/>
  <c r="EO5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Anonymous Reviewer</author>
  </authors>
  <commentList>
    <comment ref="AO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Peralkaline Index</t>
        </r>
      </text>
    </comment>
    <comment ref="AQ4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Alumina Saturation Index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Anonymous Reviewer</author>
  </authors>
  <commentList>
    <comment ref="AO4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Peralkaline Index</t>
        </r>
      </text>
    </comment>
    <comment ref="AQ4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Alumina Saturation Index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Anonymous Reviewer</author>
  </authors>
  <commentList>
    <comment ref="AO4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Peralkaline Index</t>
        </r>
      </text>
    </comment>
    <comment ref="AQ4" authorId="0" shapeId="0" xr:uid="{00000000-0006-0000-0300-000002000000}">
      <text>
        <r>
          <rPr>
            <b/>
            <sz val="9"/>
            <color indexed="81"/>
            <rFont val="Tahoma"/>
            <family val="2"/>
          </rPr>
          <t>Alumina Saturation Index</t>
        </r>
      </text>
    </comment>
  </commentList>
</comments>
</file>

<file path=xl/sharedStrings.xml><?xml version="1.0" encoding="utf-8"?>
<sst xmlns="http://schemas.openxmlformats.org/spreadsheetml/2006/main" count="1806" uniqueCount="330">
  <si>
    <t>Lava</t>
  </si>
  <si>
    <t>congo road</t>
  </si>
  <si>
    <t>Bunyaruguru</t>
  </si>
  <si>
    <t>Quaternary</t>
  </si>
  <si>
    <t>Katungite</t>
  </si>
  <si>
    <t>Toro Ankole (Katunga)</t>
  </si>
  <si>
    <t>E8</t>
  </si>
  <si>
    <t xml:space="preserve">Uganda </t>
  </si>
  <si>
    <t>E8; E6</t>
  </si>
  <si>
    <t>E5; E7</t>
  </si>
  <si>
    <t>Kalsilitite</t>
  </si>
  <si>
    <t>Toro Ankole (Katwe-Kikorongo)</t>
  </si>
  <si>
    <t>Mafurite</t>
  </si>
  <si>
    <t>Biotite Katungite</t>
  </si>
  <si>
    <t>Toro Ankole (Bunyaruguru, Mafuru)</t>
  </si>
  <si>
    <t>E5; E8</t>
  </si>
  <si>
    <t>Melilite Ugandite</t>
  </si>
  <si>
    <t>Toro Ankole (Bunyaruguru)</t>
  </si>
  <si>
    <t>Biotite Mafurite</t>
  </si>
  <si>
    <t>Melilite Mafurite</t>
  </si>
  <si>
    <t>Kalsilite Ugandite</t>
  </si>
  <si>
    <t>Ol-rich Ugandite</t>
  </si>
  <si>
    <t>Ugandite</t>
  </si>
  <si>
    <t>Leucite Mafurite</t>
  </si>
  <si>
    <t>E8; E6; E8</t>
  </si>
  <si>
    <t>E8; E6; E9</t>
  </si>
  <si>
    <t>Olivine Ugandite</t>
  </si>
  <si>
    <t>E5; E11</t>
  </si>
  <si>
    <t>Proto-Katungite</t>
  </si>
  <si>
    <t>E5; E10</t>
  </si>
  <si>
    <t>Toro Ankole</t>
  </si>
  <si>
    <t>E4</t>
  </si>
  <si>
    <t>E3</t>
  </si>
  <si>
    <t>E2</t>
  </si>
  <si>
    <t>E1; E2</t>
  </si>
  <si>
    <t>Virunga (Nyakimanga)</t>
  </si>
  <si>
    <t>E13; E20; E6</t>
  </si>
  <si>
    <t>Uganda</t>
  </si>
  <si>
    <t>Virunga (Nyarubebsa)</t>
  </si>
  <si>
    <t>E19</t>
  </si>
  <si>
    <t>Virunga (Mugogo, Muganza)</t>
  </si>
  <si>
    <t>Olivine rich Ugandite</t>
  </si>
  <si>
    <t>Kalsilite-bearing Nephelinite</t>
  </si>
  <si>
    <t>Virunga (Nyiragongo)</t>
  </si>
  <si>
    <t>E22</t>
  </si>
  <si>
    <t xml:space="preserve">Democratic Republic of Congo </t>
  </si>
  <si>
    <t>Melilite Nephelinite</t>
  </si>
  <si>
    <t>E21</t>
  </si>
  <si>
    <t xml:space="preserve">Kalsilite olivine melilite Nephelinite </t>
  </si>
  <si>
    <t>E13; E18</t>
  </si>
  <si>
    <t>Kalsilite melilite Nephelinite</t>
  </si>
  <si>
    <t>Kalsilite olivine melilite Nephelinite</t>
  </si>
  <si>
    <t>E18</t>
  </si>
  <si>
    <t>Nephelinite</t>
  </si>
  <si>
    <t>E17</t>
  </si>
  <si>
    <t>Foidite</t>
  </si>
  <si>
    <t>E16</t>
  </si>
  <si>
    <t>E15</t>
  </si>
  <si>
    <t>Nyiragongo older lavas</t>
  </si>
  <si>
    <t>kalsilite-bearing rock</t>
  </si>
  <si>
    <t>E14</t>
  </si>
  <si>
    <t>Nyiragongo 2002</t>
  </si>
  <si>
    <t>Ugandite (kamafugite)</t>
  </si>
  <si>
    <t>Kamafugite</t>
  </si>
  <si>
    <t>Virunga (Bufumbira)</t>
  </si>
  <si>
    <t>E13; E12</t>
  </si>
  <si>
    <t>Sum</t>
  </si>
  <si>
    <t>Pb/Pb*</t>
  </si>
  <si>
    <t>Th/Nb</t>
  </si>
  <si>
    <t>Cs/La</t>
  </si>
  <si>
    <t>CaO*100/Sr</t>
  </si>
  <si>
    <t>Th*100/Zr</t>
  </si>
  <si>
    <t>Nb*100/Zr</t>
  </si>
  <si>
    <t>Nb/Ta</t>
  </si>
  <si>
    <t>Zr/Y</t>
  </si>
  <si>
    <t>1/Sr</t>
  </si>
  <si>
    <t>Eu/Eu*</t>
  </si>
  <si>
    <t>Sr/Eu*</t>
  </si>
  <si>
    <t>Sr/Nd</t>
  </si>
  <si>
    <t>Sr/Yb</t>
  </si>
  <si>
    <t>Hf/Nd</t>
  </si>
  <si>
    <t>Sm/Yb</t>
  </si>
  <si>
    <t>La/Yb</t>
  </si>
  <si>
    <t>(La/Lu)N</t>
  </si>
  <si>
    <t>La/Lu</t>
  </si>
  <si>
    <t>Nb/Nb*</t>
  </si>
  <si>
    <t>K/La</t>
  </si>
  <si>
    <t>Nb/Y</t>
  </si>
  <si>
    <t>Th/Yb</t>
  </si>
  <si>
    <t>Ta/Yb</t>
  </si>
  <si>
    <t>Th/Ta</t>
  </si>
  <si>
    <t>Ba/Th</t>
  </si>
  <si>
    <t>Zr/Nb</t>
  </si>
  <si>
    <t>Rb/Sm</t>
  </si>
  <si>
    <t>Nb/U</t>
  </si>
  <si>
    <t>Ce/Pb</t>
  </si>
  <si>
    <t>Ti/Nb</t>
  </si>
  <si>
    <t>La/Nb</t>
  </si>
  <si>
    <t>Ba/La</t>
  </si>
  <si>
    <t>Ba/Nb</t>
  </si>
  <si>
    <t>Ga</t>
  </si>
  <si>
    <t>U</t>
  </si>
  <si>
    <t>Th</t>
  </si>
  <si>
    <t>Pb</t>
  </si>
  <si>
    <t>Lu</t>
  </si>
  <si>
    <t>Yb</t>
  </si>
  <si>
    <t>Tm</t>
  </si>
  <si>
    <t>Er</t>
  </si>
  <si>
    <t>Ho</t>
  </si>
  <si>
    <t>Dy</t>
  </si>
  <si>
    <t>Tb</t>
  </si>
  <si>
    <t>Gd</t>
  </si>
  <si>
    <t>Eu</t>
  </si>
  <si>
    <t>Sm</t>
  </si>
  <si>
    <t>Nd</t>
  </si>
  <si>
    <t>Pr</t>
  </si>
  <si>
    <t>Ce</t>
  </si>
  <si>
    <t>La</t>
  </si>
  <si>
    <t>Ta</t>
  </si>
  <si>
    <t>Hf</t>
  </si>
  <si>
    <t>Nb</t>
  </si>
  <si>
    <t>Zr</t>
  </si>
  <si>
    <t>Y</t>
  </si>
  <si>
    <t>Zn</t>
  </si>
  <si>
    <t>Cu</t>
  </si>
  <si>
    <t>Ni</t>
  </si>
  <si>
    <t>Co</t>
  </si>
  <si>
    <t>Cr</t>
  </si>
  <si>
    <t>V</t>
  </si>
  <si>
    <t>Sc</t>
  </si>
  <si>
    <t>Cs</t>
  </si>
  <si>
    <t>Ba</t>
  </si>
  <si>
    <t>Sr</t>
  </si>
  <si>
    <t>Rb</t>
  </si>
  <si>
    <t>K/Al</t>
  </si>
  <si>
    <t>R2</t>
  </si>
  <si>
    <t>R1</t>
  </si>
  <si>
    <t>A.I.</t>
  </si>
  <si>
    <t>ASI</t>
  </si>
  <si>
    <t>1/PI</t>
  </si>
  <si>
    <t>PI</t>
  </si>
  <si>
    <t>P</t>
  </si>
  <si>
    <t>K</t>
  </si>
  <si>
    <t>Ti</t>
  </si>
  <si>
    <t>Mg#</t>
  </si>
  <si>
    <t>Total</t>
  </si>
  <si>
    <t>L.O.I.</t>
  </si>
  <si>
    <t>CaO</t>
  </si>
  <si>
    <t>MgO</t>
  </si>
  <si>
    <t>MnO</t>
  </si>
  <si>
    <t>Age</t>
  </si>
  <si>
    <t>Rock Type</t>
  </si>
  <si>
    <t>Locality</t>
  </si>
  <si>
    <t>Series N°</t>
  </si>
  <si>
    <t>References</t>
  </si>
  <si>
    <t>Series Name</t>
  </si>
  <si>
    <t>Coppaelite</t>
  </si>
  <si>
    <t>CUL10</t>
  </si>
  <si>
    <t>Cupaello</t>
  </si>
  <si>
    <t>CUL6</t>
  </si>
  <si>
    <t>CUL5</t>
  </si>
  <si>
    <t>Venanzite</t>
  </si>
  <si>
    <t xml:space="preserve">SAV18 </t>
  </si>
  <si>
    <t>San Venanzo</t>
  </si>
  <si>
    <t xml:space="preserve">SAV15 </t>
  </si>
  <si>
    <t xml:space="preserve">SAV14 </t>
  </si>
  <si>
    <t>SAV6</t>
  </si>
  <si>
    <t>Melilitolite</t>
  </si>
  <si>
    <t>V31</t>
  </si>
  <si>
    <t>San Venanzo-Pian di Celle</t>
  </si>
  <si>
    <t>IAP - S.Venanzo</t>
  </si>
  <si>
    <t>V25</t>
  </si>
  <si>
    <t>black rock (= Melilitolite)</t>
  </si>
  <si>
    <t>V23</t>
  </si>
  <si>
    <t>black melilitolite</t>
  </si>
  <si>
    <t>V21</t>
  </si>
  <si>
    <t>San Venanzo-Pian di celle</t>
  </si>
  <si>
    <t>Kalsilite-Leucite Melilitolite</t>
  </si>
  <si>
    <t>V6</t>
  </si>
  <si>
    <t>SVK 02</t>
  </si>
  <si>
    <t>V4</t>
  </si>
  <si>
    <t>VEN 7Q</t>
  </si>
  <si>
    <t>V7</t>
  </si>
  <si>
    <t>Calcite in kalsilite-Leucite Melilitolite</t>
  </si>
  <si>
    <t>I3</t>
  </si>
  <si>
    <t>V9</t>
  </si>
  <si>
    <t>V8</t>
  </si>
  <si>
    <t>I5</t>
  </si>
  <si>
    <t>I17</t>
  </si>
  <si>
    <t>Kalsilite Melilitite</t>
  </si>
  <si>
    <t>I16</t>
  </si>
  <si>
    <t>Olivine Leucite Melilitite</t>
  </si>
  <si>
    <t>Melilitite</t>
  </si>
  <si>
    <t>V27</t>
  </si>
  <si>
    <t>V29</t>
  </si>
  <si>
    <t>V28</t>
  </si>
  <si>
    <t>V24</t>
  </si>
  <si>
    <t>Mafurite-Venanzite</t>
  </si>
  <si>
    <t>venanzite</t>
  </si>
  <si>
    <t>V22</t>
  </si>
  <si>
    <t>V26</t>
  </si>
  <si>
    <t>Carbonatitic rock</t>
  </si>
  <si>
    <t>V16</t>
  </si>
  <si>
    <t>kamafugite</t>
  </si>
  <si>
    <t>V20</t>
  </si>
  <si>
    <t>San Venanzo (average 6 samples)</t>
  </si>
  <si>
    <t>Carbonatitic Melilitite</t>
  </si>
  <si>
    <t>V10</t>
  </si>
  <si>
    <t>Olivine Melilitite</t>
  </si>
  <si>
    <t>V15</t>
  </si>
  <si>
    <t>San Venanzo (Pian di Celle)</t>
  </si>
  <si>
    <t>San Venanzo (Celli)</t>
  </si>
  <si>
    <t>Madupite</t>
  </si>
  <si>
    <t>SVK 04</t>
  </si>
  <si>
    <t>V2</t>
  </si>
  <si>
    <t>SVK 01 - leachate</t>
  </si>
  <si>
    <t>SVK 01</t>
  </si>
  <si>
    <t>VEN 2</t>
  </si>
  <si>
    <t>VEN 3</t>
  </si>
  <si>
    <t>I4</t>
  </si>
  <si>
    <t>V3</t>
  </si>
  <si>
    <t>coppaelite</t>
  </si>
  <si>
    <t xml:space="preserve"> Cupaello</t>
  </si>
  <si>
    <t>I18</t>
  </si>
  <si>
    <t>Melilite Kalsilitite</t>
  </si>
  <si>
    <t>IAP - Cupaello</t>
  </si>
  <si>
    <t>V35</t>
  </si>
  <si>
    <t>V32</t>
  </si>
  <si>
    <t>Cupaello (average 3 samples)</t>
  </si>
  <si>
    <t>78-81 Ma</t>
  </si>
  <si>
    <t>APIP (Facão)</t>
  </si>
  <si>
    <t>Brazil</t>
  </si>
  <si>
    <t>APIP (Osmar)</t>
  </si>
  <si>
    <t>APIP (Presidente Olegario)</t>
  </si>
  <si>
    <t>APIP (Veridiana)</t>
  </si>
  <si>
    <t>APIP (Santa Rosa)</t>
  </si>
  <si>
    <t>APIP (Malaquias)</t>
  </si>
  <si>
    <t>A4</t>
  </si>
  <si>
    <t>Minas Gerais</t>
  </si>
  <si>
    <t>A3</t>
  </si>
  <si>
    <t>76-90 Ma</t>
  </si>
  <si>
    <t>A10</t>
  </si>
  <si>
    <t>APIP (Mata de Corda Formation)</t>
  </si>
  <si>
    <t>Kamafugite breccia</t>
  </si>
  <si>
    <t>A12</t>
  </si>
  <si>
    <t>APIP</t>
  </si>
  <si>
    <t>A2</t>
  </si>
  <si>
    <t>APIP (Velosa)</t>
  </si>
  <si>
    <t>APIP (São Josè  dos Talhados)</t>
  </si>
  <si>
    <t>APIP (Serra)</t>
  </si>
  <si>
    <t>APIP (Serra do Bueno)</t>
  </si>
  <si>
    <t>A1</t>
  </si>
  <si>
    <t>APIP (Canas)</t>
  </si>
  <si>
    <t>A9</t>
  </si>
  <si>
    <t>GAP (San Antonio de Barra)</t>
  </si>
  <si>
    <t>85 Ma</t>
  </si>
  <si>
    <t>GAP (Paraúna)</t>
  </si>
  <si>
    <t>A11</t>
  </si>
  <si>
    <t>GAP (Morro do Macaco)</t>
  </si>
  <si>
    <t>A8</t>
  </si>
  <si>
    <t>A5</t>
  </si>
  <si>
    <t>A7</t>
  </si>
  <si>
    <t>GAP (Aguas Emendadas)</t>
  </si>
  <si>
    <t>A6</t>
  </si>
  <si>
    <t>GAP (Amorinopolis)</t>
  </si>
  <si>
    <t>E23; this study</t>
  </si>
  <si>
    <t>V6; V34</t>
  </si>
  <si>
    <t>V2; V3</t>
  </si>
  <si>
    <t>V3; V4</t>
  </si>
  <si>
    <t>V4; V5</t>
  </si>
  <si>
    <t>V5; V7</t>
  </si>
  <si>
    <t>I17; this study</t>
  </si>
  <si>
    <t>I18; this study</t>
  </si>
  <si>
    <t># cite as: Innocenzi, F.; Foley, S.; Ronca, S.; Agostini, S.; Guarino, V.; Lustrino, M. (2025): Petrological, geochemical and isotopic characterization of kamafugites from East-Central Africa, Italy and Brazil: a review. GFZ Data Services. https://doi.org/10.5880/fidgeo.2025.025</t>
  </si>
  <si>
    <t># licence: Creative Commons Attribution 4.0 International (CC BY 4.0)</t>
  </si>
  <si>
    <t>#</t>
  </si>
  <si>
    <r>
      <t>SiO</t>
    </r>
    <r>
      <rPr>
        <b/>
        <vertAlign val="subscript"/>
        <sz val="11"/>
        <rFont val="Calibri"/>
        <family val="2"/>
      </rPr>
      <t>2</t>
    </r>
  </si>
  <si>
    <r>
      <t>TiO</t>
    </r>
    <r>
      <rPr>
        <b/>
        <vertAlign val="subscript"/>
        <sz val="11"/>
        <rFont val="Calibri"/>
        <family val="2"/>
      </rPr>
      <t>2</t>
    </r>
  </si>
  <si>
    <r>
      <t>Al</t>
    </r>
    <r>
      <rPr>
        <b/>
        <vertAlign val="subscript"/>
        <sz val="11"/>
        <rFont val="Calibri"/>
        <family val="2"/>
      </rPr>
      <t>2</t>
    </r>
    <r>
      <rPr>
        <b/>
        <sz val="11"/>
        <rFont val="Calibri"/>
        <family val="2"/>
      </rPr>
      <t>O</t>
    </r>
    <r>
      <rPr>
        <b/>
        <vertAlign val="subscript"/>
        <sz val="11"/>
        <rFont val="Calibri"/>
        <family val="2"/>
      </rPr>
      <t>3</t>
    </r>
  </si>
  <si>
    <r>
      <t>Fe</t>
    </r>
    <r>
      <rPr>
        <b/>
        <vertAlign val="subscript"/>
        <sz val="11"/>
        <rFont val="Calibri"/>
        <family val="2"/>
      </rPr>
      <t>2</t>
    </r>
    <r>
      <rPr>
        <b/>
        <sz val="11"/>
        <rFont val="Calibri"/>
        <family val="2"/>
      </rPr>
      <t>O</t>
    </r>
    <r>
      <rPr>
        <b/>
        <vertAlign val="subscript"/>
        <sz val="11"/>
        <rFont val="Calibri"/>
        <family val="2"/>
      </rPr>
      <t>3</t>
    </r>
  </si>
  <si>
    <r>
      <t>Na</t>
    </r>
    <r>
      <rPr>
        <b/>
        <vertAlign val="subscript"/>
        <sz val="11"/>
        <rFont val="Calibri"/>
        <family val="2"/>
      </rPr>
      <t>2</t>
    </r>
    <r>
      <rPr>
        <b/>
        <sz val="11"/>
        <rFont val="Calibri"/>
        <family val="2"/>
      </rPr>
      <t>O</t>
    </r>
  </si>
  <si>
    <r>
      <t>K</t>
    </r>
    <r>
      <rPr>
        <b/>
        <vertAlign val="subscript"/>
        <sz val="11"/>
        <rFont val="Calibri"/>
        <family val="2"/>
      </rPr>
      <t>2</t>
    </r>
    <r>
      <rPr>
        <b/>
        <sz val="11"/>
        <rFont val="Calibri"/>
        <family val="2"/>
      </rPr>
      <t>O</t>
    </r>
  </si>
  <si>
    <r>
      <t>P</t>
    </r>
    <r>
      <rPr>
        <b/>
        <vertAlign val="subscript"/>
        <sz val="11"/>
        <rFont val="Calibri"/>
        <family val="2"/>
      </rPr>
      <t>2</t>
    </r>
    <r>
      <rPr>
        <b/>
        <sz val="11"/>
        <rFont val="Calibri"/>
        <family val="2"/>
      </rPr>
      <t>O</t>
    </r>
    <r>
      <rPr>
        <b/>
        <vertAlign val="subscript"/>
        <sz val="11"/>
        <rFont val="Calibri"/>
        <family val="2"/>
      </rPr>
      <t>5</t>
    </r>
  </si>
  <si>
    <r>
      <t>CO</t>
    </r>
    <r>
      <rPr>
        <b/>
        <vertAlign val="subscript"/>
        <sz val="11"/>
        <rFont val="Calibri"/>
        <family val="2"/>
      </rPr>
      <t>2</t>
    </r>
  </si>
  <si>
    <r>
      <rPr>
        <b/>
        <vertAlign val="superscript"/>
        <sz val="11"/>
        <rFont val="Calibri"/>
        <family val="2"/>
      </rPr>
      <t>87</t>
    </r>
    <r>
      <rPr>
        <b/>
        <sz val="11"/>
        <rFont val="Calibri"/>
        <family val="2"/>
      </rPr>
      <t>Sr/</t>
    </r>
    <r>
      <rPr>
        <b/>
        <vertAlign val="superscript"/>
        <sz val="11"/>
        <rFont val="Calibri"/>
        <family val="2"/>
      </rPr>
      <t>86</t>
    </r>
    <r>
      <rPr>
        <b/>
        <sz val="11"/>
        <rFont val="Calibri"/>
        <family val="2"/>
      </rPr>
      <t>Sr</t>
    </r>
  </si>
  <si>
    <r>
      <rPr>
        <b/>
        <vertAlign val="superscript"/>
        <sz val="11"/>
        <rFont val="Calibri"/>
        <family val="2"/>
      </rPr>
      <t>143</t>
    </r>
    <r>
      <rPr>
        <b/>
        <sz val="11"/>
        <rFont val="Calibri"/>
        <family val="2"/>
      </rPr>
      <t>Nd/</t>
    </r>
    <r>
      <rPr>
        <b/>
        <vertAlign val="superscript"/>
        <sz val="11"/>
        <rFont val="Calibri"/>
        <family val="2"/>
      </rPr>
      <t>144</t>
    </r>
    <r>
      <rPr>
        <b/>
        <sz val="11"/>
        <rFont val="Calibri"/>
        <family val="2"/>
      </rPr>
      <t>Nd</t>
    </r>
  </si>
  <si>
    <r>
      <rPr>
        <b/>
        <vertAlign val="superscript"/>
        <sz val="11"/>
        <rFont val="Calibri"/>
        <family val="2"/>
      </rPr>
      <t>206</t>
    </r>
    <r>
      <rPr>
        <b/>
        <sz val="11"/>
        <rFont val="Calibri"/>
        <family val="2"/>
      </rPr>
      <t>Pb/</t>
    </r>
    <r>
      <rPr>
        <b/>
        <vertAlign val="superscript"/>
        <sz val="11"/>
        <rFont val="Calibri"/>
        <family val="2"/>
      </rPr>
      <t>204</t>
    </r>
    <r>
      <rPr>
        <b/>
        <sz val="11"/>
        <rFont val="Calibri"/>
        <family val="2"/>
      </rPr>
      <t>Pb</t>
    </r>
  </si>
  <si>
    <r>
      <rPr>
        <b/>
        <vertAlign val="superscript"/>
        <sz val="11"/>
        <rFont val="Calibri"/>
        <family val="2"/>
      </rPr>
      <t>207</t>
    </r>
    <r>
      <rPr>
        <b/>
        <sz val="11"/>
        <rFont val="Calibri"/>
        <family val="2"/>
      </rPr>
      <t>Pb/</t>
    </r>
    <r>
      <rPr>
        <b/>
        <vertAlign val="superscript"/>
        <sz val="11"/>
        <rFont val="Calibri"/>
        <family val="2"/>
      </rPr>
      <t>204</t>
    </r>
    <r>
      <rPr>
        <b/>
        <sz val="11"/>
        <rFont val="Calibri"/>
        <family val="2"/>
      </rPr>
      <t>Pb</t>
    </r>
  </si>
  <si>
    <r>
      <rPr>
        <b/>
        <vertAlign val="superscript"/>
        <sz val="11"/>
        <rFont val="Calibri"/>
        <family val="2"/>
      </rPr>
      <t>208</t>
    </r>
    <r>
      <rPr>
        <b/>
        <sz val="11"/>
        <rFont val="Calibri"/>
        <family val="2"/>
      </rPr>
      <t>Pb/</t>
    </r>
    <r>
      <rPr>
        <b/>
        <vertAlign val="superscript"/>
        <sz val="11"/>
        <rFont val="Calibri"/>
        <family val="2"/>
      </rPr>
      <t>204</t>
    </r>
    <r>
      <rPr>
        <b/>
        <sz val="11"/>
        <rFont val="Calibri"/>
        <family val="2"/>
      </rPr>
      <t>Pb</t>
    </r>
  </si>
  <si>
    <r>
      <rPr>
        <b/>
        <vertAlign val="superscript"/>
        <sz val="11"/>
        <rFont val="Calibri"/>
        <family val="2"/>
      </rPr>
      <t>208</t>
    </r>
    <r>
      <rPr>
        <b/>
        <sz val="11"/>
        <rFont val="Calibri"/>
        <family val="2"/>
      </rPr>
      <t>Pb/</t>
    </r>
    <r>
      <rPr>
        <b/>
        <vertAlign val="superscript"/>
        <sz val="11"/>
        <rFont val="Calibri"/>
        <family val="2"/>
      </rPr>
      <t>206</t>
    </r>
    <r>
      <rPr>
        <b/>
        <sz val="11"/>
        <rFont val="Calibri"/>
        <family val="2"/>
      </rPr>
      <t>Pb</t>
    </r>
  </si>
  <si>
    <r>
      <rPr>
        <b/>
        <vertAlign val="superscript"/>
        <sz val="11"/>
        <rFont val="Calibri"/>
        <family val="2"/>
      </rPr>
      <t>207</t>
    </r>
    <r>
      <rPr>
        <b/>
        <sz val="11"/>
        <rFont val="Calibri"/>
        <family val="2"/>
      </rPr>
      <t>Pb/</t>
    </r>
    <r>
      <rPr>
        <b/>
        <vertAlign val="superscript"/>
        <sz val="11"/>
        <rFont val="Calibri"/>
        <family val="2"/>
      </rPr>
      <t>206</t>
    </r>
    <r>
      <rPr>
        <b/>
        <sz val="11"/>
        <rFont val="Calibri"/>
        <family val="2"/>
      </rPr>
      <t>Pb</t>
    </r>
  </si>
  <si>
    <t>D7/4</t>
  </si>
  <si>
    <t>D8/4</t>
  </si>
  <si>
    <r>
      <t>δ</t>
    </r>
    <r>
      <rPr>
        <b/>
        <vertAlign val="superscript"/>
        <sz val="11"/>
        <rFont val="Calibri"/>
        <family val="2"/>
      </rPr>
      <t>11</t>
    </r>
    <r>
      <rPr>
        <b/>
        <sz val="11"/>
        <rFont val="Calibri"/>
        <family val="2"/>
      </rPr>
      <t>B</t>
    </r>
  </si>
  <si>
    <r>
      <t>Na</t>
    </r>
    <r>
      <rPr>
        <b/>
        <vertAlign val="subscript"/>
        <sz val="11"/>
        <rFont val="Calibri"/>
        <family val="2"/>
      </rPr>
      <t>2</t>
    </r>
    <r>
      <rPr>
        <b/>
        <sz val="11"/>
        <rFont val="Calibri"/>
        <family val="2"/>
      </rPr>
      <t>O+K</t>
    </r>
    <r>
      <rPr>
        <b/>
        <vertAlign val="subscript"/>
        <sz val="11"/>
        <rFont val="Calibri"/>
        <family val="2"/>
      </rPr>
      <t>2</t>
    </r>
    <r>
      <rPr>
        <b/>
        <sz val="11"/>
        <rFont val="Calibri"/>
        <family val="2"/>
      </rPr>
      <t>O</t>
    </r>
  </si>
  <si>
    <r>
      <t>K</t>
    </r>
    <r>
      <rPr>
        <b/>
        <vertAlign val="subscript"/>
        <sz val="11"/>
        <rFont val="Calibri"/>
        <family val="2"/>
      </rPr>
      <t>2</t>
    </r>
    <r>
      <rPr>
        <b/>
        <sz val="11"/>
        <rFont val="Calibri"/>
        <family val="2"/>
      </rPr>
      <t>O/Na</t>
    </r>
    <r>
      <rPr>
        <b/>
        <vertAlign val="subscript"/>
        <sz val="11"/>
        <rFont val="Calibri"/>
        <family val="2"/>
      </rPr>
      <t>2</t>
    </r>
    <r>
      <rPr>
        <b/>
        <sz val="11"/>
        <rFont val="Calibri"/>
        <family val="2"/>
      </rPr>
      <t>O</t>
    </r>
  </si>
  <si>
    <r>
      <t>Na</t>
    </r>
    <r>
      <rPr>
        <b/>
        <vertAlign val="subscript"/>
        <sz val="11"/>
        <rFont val="Calibri"/>
        <family val="2"/>
      </rPr>
      <t>2</t>
    </r>
    <r>
      <rPr>
        <b/>
        <sz val="11"/>
        <rFont val="Calibri"/>
        <family val="2"/>
      </rPr>
      <t>O/K</t>
    </r>
    <r>
      <rPr>
        <b/>
        <vertAlign val="subscript"/>
        <sz val="11"/>
        <rFont val="Calibri"/>
        <family val="2"/>
      </rPr>
      <t>2</t>
    </r>
    <r>
      <rPr>
        <b/>
        <sz val="11"/>
        <rFont val="Calibri"/>
        <family val="2"/>
      </rPr>
      <t>O</t>
    </r>
  </si>
  <si>
    <r>
      <t>CaO/Al</t>
    </r>
    <r>
      <rPr>
        <b/>
        <vertAlign val="subscript"/>
        <sz val="11"/>
        <rFont val="Calibri"/>
        <family val="2"/>
      </rPr>
      <t>2</t>
    </r>
    <r>
      <rPr>
        <b/>
        <sz val="11"/>
        <rFont val="Calibri"/>
        <family val="2"/>
      </rPr>
      <t>O</t>
    </r>
    <r>
      <rPr>
        <b/>
        <vertAlign val="subscript"/>
        <sz val="11"/>
        <rFont val="Calibri"/>
        <family val="2"/>
      </rPr>
      <t>3</t>
    </r>
  </si>
  <si>
    <r>
      <t>K</t>
    </r>
    <r>
      <rPr>
        <b/>
        <vertAlign val="subscript"/>
        <sz val="11"/>
        <rFont val="Calibri"/>
        <family val="2"/>
      </rPr>
      <t>2</t>
    </r>
    <r>
      <rPr>
        <b/>
        <sz val="11"/>
        <rFont val="Calibri"/>
        <family val="2"/>
      </rPr>
      <t>O/Al</t>
    </r>
    <r>
      <rPr>
        <b/>
        <vertAlign val="subscript"/>
        <sz val="11"/>
        <rFont val="Calibri"/>
        <family val="2"/>
      </rPr>
      <t>2</t>
    </r>
    <r>
      <rPr>
        <b/>
        <sz val="11"/>
        <rFont val="Calibri"/>
        <family val="2"/>
      </rPr>
      <t>O</t>
    </r>
    <r>
      <rPr>
        <b/>
        <vertAlign val="subscript"/>
        <sz val="11"/>
        <rFont val="Calibri"/>
        <family val="2"/>
      </rPr>
      <t>3</t>
    </r>
  </si>
  <si>
    <r>
      <t>K</t>
    </r>
    <r>
      <rPr>
        <b/>
        <vertAlign val="subscript"/>
        <sz val="11"/>
        <rFont val="Calibri"/>
        <family val="2"/>
      </rPr>
      <t>2</t>
    </r>
    <r>
      <rPr>
        <b/>
        <sz val="11"/>
        <rFont val="Calibri"/>
        <family val="2"/>
      </rPr>
      <t>O/SiO</t>
    </r>
    <r>
      <rPr>
        <b/>
        <vertAlign val="subscript"/>
        <sz val="11"/>
        <rFont val="Calibri"/>
        <family val="2"/>
      </rPr>
      <t>2</t>
    </r>
  </si>
  <si>
    <r>
      <t>La</t>
    </r>
    <r>
      <rPr>
        <b/>
        <vertAlign val="subscript"/>
        <sz val="11"/>
        <rFont val="Calibri"/>
        <family val="2"/>
      </rPr>
      <t>N</t>
    </r>
  </si>
  <si>
    <r>
      <t>Ce</t>
    </r>
    <r>
      <rPr>
        <b/>
        <vertAlign val="subscript"/>
        <sz val="11"/>
        <rFont val="Calibri"/>
        <family val="2"/>
      </rPr>
      <t>N</t>
    </r>
  </si>
  <si>
    <r>
      <t>Pr</t>
    </r>
    <r>
      <rPr>
        <b/>
        <vertAlign val="subscript"/>
        <sz val="11"/>
        <rFont val="Calibri"/>
        <family val="2"/>
      </rPr>
      <t>N</t>
    </r>
  </si>
  <si>
    <r>
      <t>Nd</t>
    </r>
    <r>
      <rPr>
        <b/>
        <vertAlign val="subscript"/>
        <sz val="11"/>
        <rFont val="Calibri"/>
        <family val="2"/>
      </rPr>
      <t>N</t>
    </r>
  </si>
  <si>
    <r>
      <t>Sm</t>
    </r>
    <r>
      <rPr>
        <b/>
        <vertAlign val="subscript"/>
        <sz val="11"/>
        <rFont val="Calibri"/>
        <family val="2"/>
      </rPr>
      <t>N</t>
    </r>
  </si>
  <si>
    <r>
      <t>Eu</t>
    </r>
    <r>
      <rPr>
        <b/>
        <vertAlign val="subscript"/>
        <sz val="11"/>
        <rFont val="Calibri"/>
        <family val="2"/>
      </rPr>
      <t>N</t>
    </r>
  </si>
  <si>
    <r>
      <t>Gd</t>
    </r>
    <r>
      <rPr>
        <b/>
        <vertAlign val="subscript"/>
        <sz val="11"/>
        <rFont val="Calibri"/>
        <family val="2"/>
      </rPr>
      <t>N</t>
    </r>
  </si>
  <si>
    <r>
      <t>Tb</t>
    </r>
    <r>
      <rPr>
        <b/>
        <vertAlign val="subscript"/>
        <sz val="11"/>
        <rFont val="Calibri"/>
        <family val="2"/>
      </rPr>
      <t>N</t>
    </r>
  </si>
  <si>
    <r>
      <t>Dy</t>
    </r>
    <r>
      <rPr>
        <b/>
        <vertAlign val="subscript"/>
        <sz val="11"/>
        <rFont val="Calibri"/>
        <family val="2"/>
      </rPr>
      <t>N</t>
    </r>
  </si>
  <si>
    <r>
      <t>Ho</t>
    </r>
    <r>
      <rPr>
        <b/>
        <vertAlign val="subscript"/>
        <sz val="11"/>
        <rFont val="Calibri"/>
        <family val="2"/>
      </rPr>
      <t>N</t>
    </r>
  </si>
  <si>
    <r>
      <t>Er</t>
    </r>
    <r>
      <rPr>
        <b/>
        <vertAlign val="subscript"/>
        <sz val="11"/>
        <rFont val="Calibri"/>
        <family val="2"/>
      </rPr>
      <t>N</t>
    </r>
  </si>
  <si>
    <r>
      <t>Tm</t>
    </r>
    <r>
      <rPr>
        <b/>
        <vertAlign val="subscript"/>
        <sz val="11"/>
        <rFont val="Calibri"/>
        <family val="2"/>
      </rPr>
      <t>N</t>
    </r>
  </si>
  <si>
    <r>
      <t>Yb</t>
    </r>
    <r>
      <rPr>
        <b/>
        <vertAlign val="subscript"/>
        <sz val="11"/>
        <rFont val="Calibri"/>
        <family val="2"/>
      </rPr>
      <t>N</t>
    </r>
  </si>
  <si>
    <r>
      <t>Lu</t>
    </r>
    <r>
      <rPr>
        <b/>
        <vertAlign val="subscript"/>
        <sz val="11"/>
        <rFont val="Calibri"/>
        <family val="2"/>
      </rPr>
      <t>N</t>
    </r>
  </si>
  <si>
    <r>
      <t>(La/Sm)</t>
    </r>
    <r>
      <rPr>
        <b/>
        <vertAlign val="subscript"/>
        <sz val="11"/>
        <rFont val="Calibri"/>
        <family val="2"/>
      </rPr>
      <t>N</t>
    </r>
  </si>
  <si>
    <t>DNb</t>
  </si>
  <si>
    <r>
      <t>SiO</t>
    </r>
    <r>
      <rPr>
        <b/>
        <vertAlign val="subscript"/>
        <sz val="11"/>
        <rFont val="Calibri"/>
        <family val="2"/>
      </rPr>
      <t>2(LOI free)</t>
    </r>
  </si>
  <si>
    <r>
      <t>TiO</t>
    </r>
    <r>
      <rPr>
        <b/>
        <vertAlign val="subscript"/>
        <sz val="11"/>
        <rFont val="Calibri"/>
        <family val="2"/>
      </rPr>
      <t>2(LOI free)</t>
    </r>
  </si>
  <si>
    <r>
      <t>Al</t>
    </r>
    <r>
      <rPr>
        <b/>
        <vertAlign val="subscript"/>
        <sz val="11"/>
        <rFont val="Calibri"/>
        <family val="2"/>
      </rPr>
      <t>2</t>
    </r>
    <r>
      <rPr>
        <b/>
        <sz val="11"/>
        <rFont val="Calibri"/>
        <family val="2"/>
      </rPr>
      <t>O</t>
    </r>
    <r>
      <rPr>
        <b/>
        <vertAlign val="subscript"/>
        <sz val="11"/>
        <rFont val="Calibri"/>
        <family val="2"/>
      </rPr>
      <t>3(LOI free)</t>
    </r>
  </si>
  <si>
    <r>
      <t>Fe</t>
    </r>
    <r>
      <rPr>
        <b/>
        <vertAlign val="subscript"/>
        <sz val="11"/>
        <rFont val="Calibri"/>
        <family val="2"/>
      </rPr>
      <t>2</t>
    </r>
    <r>
      <rPr>
        <b/>
        <sz val="11"/>
        <rFont val="Calibri"/>
        <family val="2"/>
      </rPr>
      <t>O</t>
    </r>
    <r>
      <rPr>
        <b/>
        <vertAlign val="subscript"/>
        <sz val="11"/>
        <rFont val="Calibri"/>
        <family val="2"/>
      </rPr>
      <t>3(LOI free)</t>
    </r>
  </si>
  <si>
    <r>
      <t>MnO</t>
    </r>
    <r>
      <rPr>
        <b/>
        <vertAlign val="subscript"/>
        <sz val="11"/>
        <rFont val="Calibri"/>
        <family val="2"/>
      </rPr>
      <t>(LOI free)</t>
    </r>
  </si>
  <si>
    <r>
      <t>MgO</t>
    </r>
    <r>
      <rPr>
        <b/>
        <vertAlign val="subscript"/>
        <sz val="11"/>
        <rFont val="Calibri"/>
        <family val="2"/>
      </rPr>
      <t>(LOI free)</t>
    </r>
  </si>
  <si>
    <r>
      <t>CaO</t>
    </r>
    <r>
      <rPr>
        <b/>
        <vertAlign val="subscript"/>
        <sz val="11"/>
        <rFont val="Calibri"/>
        <family val="2"/>
      </rPr>
      <t>(LOI free)</t>
    </r>
  </si>
  <si>
    <r>
      <t>Na</t>
    </r>
    <r>
      <rPr>
        <b/>
        <vertAlign val="subscript"/>
        <sz val="11"/>
        <rFont val="Calibri"/>
        <family val="2"/>
      </rPr>
      <t>2</t>
    </r>
    <r>
      <rPr>
        <b/>
        <sz val="11"/>
        <rFont val="Calibri"/>
        <family val="2"/>
      </rPr>
      <t>O</t>
    </r>
    <r>
      <rPr>
        <b/>
        <vertAlign val="subscript"/>
        <sz val="11"/>
        <rFont val="Calibri"/>
        <family val="2"/>
      </rPr>
      <t>(LOI free)</t>
    </r>
  </si>
  <si>
    <r>
      <t>K</t>
    </r>
    <r>
      <rPr>
        <b/>
        <vertAlign val="subscript"/>
        <sz val="11"/>
        <rFont val="Calibri"/>
        <family val="2"/>
      </rPr>
      <t>2</t>
    </r>
    <r>
      <rPr>
        <b/>
        <sz val="11"/>
        <rFont val="Calibri"/>
        <family val="2"/>
      </rPr>
      <t>O</t>
    </r>
    <r>
      <rPr>
        <b/>
        <vertAlign val="subscript"/>
        <sz val="11"/>
        <rFont val="Calibri"/>
        <family val="2"/>
      </rPr>
      <t>(LOI free)</t>
    </r>
  </si>
  <si>
    <r>
      <t>P</t>
    </r>
    <r>
      <rPr>
        <b/>
        <vertAlign val="subscript"/>
        <sz val="11"/>
        <rFont val="Calibri"/>
        <family val="2"/>
      </rPr>
      <t>2</t>
    </r>
    <r>
      <rPr>
        <b/>
        <sz val="11"/>
        <rFont val="Calibri"/>
        <family val="2"/>
      </rPr>
      <t>O</t>
    </r>
    <r>
      <rPr>
        <b/>
        <vertAlign val="subscript"/>
        <sz val="11"/>
        <rFont val="Calibri"/>
        <family val="2"/>
      </rPr>
      <t>5(LOI free)</t>
    </r>
  </si>
  <si>
    <t>ΔNb</t>
  </si>
  <si>
    <t>A1; this study</t>
  </si>
  <si>
    <t>A1; A2; this study</t>
  </si>
  <si>
    <t>A2; this study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</si>
</sst>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"/>
    <numFmt numFmtId="165" formatCode="0.000000"/>
    <numFmt numFmtId="166" formatCode="0.0000"/>
    <numFmt numFmtId="167" formatCode="0.000"/>
    <numFmt numFmtId="168" formatCode="0.00000"/>
    <numFmt numFmtId="169" formatCode="0.0000000"/>
  </numFmts>
  <fonts count="17">
    <font>
      <sz val="11"/>
      <color theme="1"/>
      <name val="Aptos Narrow"/>
      <family val="2"/>
      <scheme val="minor"/>
    </font>
    <font>
      <sz val="10"/>
      <name val="Arial"/>
      <family val="2"/>
    </font>
    <font>
      <b/>
      <sz val="9"/>
      <color indexed="81"/>
      <name val="Tahoma"/>
      <family val="2"/>
    </font>
    <font>
      <sz val="10"/>
      <name val="Times"/>
    </font>
    <font>
      <b/>
      <sz val="11"/>
      <name val="Calibri"/>
      <family val="2"/>
    </font>
    <font>
      <sz val="12"/>
      <color rgb="FF9C0006"/>
      <name val="Aptos Narrow"/>
      <family val="2"/>
      <scheme val="minor"/>
    </font>
    <font>
      <sz val="11"/>
      <color theme="1"/>
      <name val="Calibri"/>
      <family val="2"/>
    </font>
    <font>
      <b/>
      <vertAlign val="subscript"/>
      <sz val="11"/>
      <name val="Calibri"/>
      <family val="2"/>
    </font>
    <font>
      <b/>
      <vertAlign val="superscript"/>
      <sz val="11"/>
      <name val="Calibri"/>
      <family val="2"/>
    </font>
    <font>
      <sz val="11"/>
      <name val="Calibri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</font>
    <font>
      <b/>
      <sz val="11"/>
      <color indexed="8"/>
      <name val="Calibri"/>
      <family val="2"/>
    </font>
    <font>
      <sz val="12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>
      <alignment horizontal="right"/>
    </xf>
    <xf numFmtId="0" fontId="5" fillId="2" borderId="0" applyNumberFormat="0" applyBorder="0" applyAlignment="0" applyProtection="0"/>
  </cellStyleXfs>
  <cellXfs count="145">
    <xf numFmtId="0" fontId="0" fillId="0" borderId="0" xfId="0"/>
    <xf numFmtId="0" fontId="6" fillId="0" borderId="0" xfId="0" applyFont="1"/>
    <xf numFmtId="0" fontId="6" fillId="0" borderId="0" xfId="0" applyFont="1" applyAlignment="1">
      <alignment horizontal="left" vertical="top"/>
    </xf>
    <xf numFmtId="0" fontId="4" fillId="0" borderId="3" xfId="0" applyFont="1" applyBorder="1"/>
    <xf numFmtId="2" fontId="4" fillId="0" borderId="3" xfId="0" applyNumberFormat="1" applyFont="1" applyBorder="1"/>
    <xf numFmtId="0" fontId="4" fillId="0" borderId="3" xfId="0" applyFont="1" applyBorder="1" applyAlignment="1">
      <alignment horizontal="left" vertical="top"/>
    </xf>
    <xf numFmtId="168" fontId="4" fillId="0" borderId="3" xfId="0" applyNumberFormat="1" applyFont="1" applyBorder="1"/>
    <xf numFmtId="165" fontId="4" fillId="0" borderId="3" xfId="0" applyNumberFormat="1" applyFont="1" applyBorder="1"/>
    <xf numFmtId="164" fontId="4" fillId="0" borderId="3" xfId="0" applyNumberFormat="1" applyFont="1" applyBorder="1"/>
    <xf numFmtId="1" fontId="4" fillId="0" borderId="3" xfId="0" applyNumberFormat="1" applyFont="1" applyBorder="1"/>
    <xf numFmtId="166" fontId="4" fillId="0" borderId="3" xfId="0" applyNumberFormat="1" applyFont="1" applyBorder="1"/>
    <xf numFmtId="2" fontId="9" fillId="0" borderId="0" xfId="0" applyNumberFormat="1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left" vertical="top"/>
    </xf>
    <xf numFmtId="2" fontId="6" fillId="0" borderId="0" xfId="0" applyNumberFormat="1" applyFont="1"/>
    <xf numFmtId="2" fontId="9" fillId="0" borderId="0" xfId="0" applyNumberFormat="1" applyFont="1" applyAlignment="1">
      <alignment vertical="center"/>
    </xf>
    <xf numFmtId="1" fontId="9" fillId="0" borderId="0" xfId="0" applyNumberFormat="1" applyFont="1" applyAlignment="1">
      <alignment vertical="center"/>
    </xf>
    <xf numFmtId="168" fontId="9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2" fontId="9" fillId="0" borderId="0" xfId="0" applyNumberFormat="1" applyFont="1"/>
    <xf numFmtId="1" fontId="9" fillId="0" borderId="0" xfId="0" applyNumberFormat="1" applyFont="1"/>
    <xf numFmtId="164" fontId="10" fillId="0" borderId="0" xfId="2" applyNumberFormat="1" applyFont="1" applyAlignment="1">
      <alignment vertical="center"/>
    </xf>
    <xf numFmtId="164" fontId="9" fillId="0" borderId="0" xfId="0" applyNumberFormat="1" applyFont="1"/>
    <xf numFmtId="166" fontId="9" fillId="0" borderId="0" xfId="0" applyNumberFormat="1" applyFont="1"/>
    <xf numFmtId="0" fontId="6" fillId="0" borderId="1" xfId="0" applyFont="1" applyBorder="1"/>
    <xf numFmtId="0" fontId="10" fillId="0" borderId="1" xfId="0" applyFont="1" applyBorder="1" applyAlignment="1">
      <alignment horizontal="left" vertical="top"/>
    </xf>
    <xf numFmtId="2" fontId="6" fillId="0" borderId="1" xfId="0" applyNumberFormat="1" applyFont="1" applyBorder="1"/>
    <xf numFmtId="2" fontId="9" fillId="0" borderId="1" xfId="0" applyNumberFormat="1" applyFont="1" applyBorder="1" applyAlignment="1">
      <alignment vertical="center"/>
    </xf>
    <xf numFmtId="1" fontId="9" fillId="0" borderId="1" xfId="0" applyNumberFormat="1" applyFont="1" applyBorder="1" applyAlignment="1">
      <alignment vertical="center"/>
    </xf>
    <xf numFmtId="168" fontId="9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vertical="center"/>
    </xf>
    <xf numFmtId="2" fontId="9" fillId="0" borderId="1" xfId="0" applyNumberFormat="1" applyFont="1" applyBorder="1"/>
    <xf numFmtId="1" fontId="9" fillId="0" borderId="1" xfId="0" applyNumberFormat="1" applyFont="1" applyBorder="1"/>
    <xf numFmtId="164" fontId="10" fillId="0" borderId="1" xfId="2" applyNumberFormat="1" applyFont="1" applyBorder="1" applyAlignment="1">
      <alignment vertical="center"/>
    </xf>
    <xf numFmtId="164" fontId="9" fillId="0" borderId="1" xfId="0" applyNumberFormat="1" applyFont="1" applyBorder="1"/>
    <xf numFmtId="166" fontId="9" fillId="0" borderId="1" xfId="0" applyNumberFormat="1" applyFont="1" applyBorder="1"/>
    <xf numFmtId="0" fontId="9" fillId="0" borderId="0" xfId="0" applyFont="1"/>
    <xf numFmtId="164" fontId="9" fillId="0" borderId="0" xfId="0" applyNumberFormat="1" applyFont="1" applyAlignment="1">
      <alignment vertical="center"/>
    </xf>
    <xf numFmtId="164" fontId="10" fillId="0" borderId="0" xfId="0" applyNumberFormat="1" applyFont="1"/>
    <xf numFmtId="1" fontId="10" fillId="0" borderId="0" xfId="0" applyNumberFormat="1" applyFont="1"/>
    <xf numFmtId="2" fontId="10" fillId="0" borderId="0" xfId="0" applyNumberFormat="1" applyFont="1"/>
    <xf numFmtId="1" fontId="10" fillId="0" borderId="0" xfId="2" applyNumberFormat="1" applyFont="1" applyAlignment="1">
      <alignment vertical="center"/>
    </xf>
    <xf numFmtId="0" fontId="9" fillId="0" borderId="1" xfId="0" applyFont="1" applyBorder="1" applyAlignment="1">
      <alignment vertical="center" wrapText="1"/>
    </xf>
    <xf numFmtId="2" fontId="9" fillId="0" borderId="1" xfId="0" applyNumberFormat="1" applyFont="1" applyBorder="1" applyAlignment="1">
      <alignment horizontal="left" vertical="top"/>
    </xf>
    <xf numFmtId="164" fontId="9" fillId="0" borderId="1" xfId="0" applyNumberFormat="1" applyFont="1" applyBorder="1" applyAlignment="1">
      <alignment vertical="center"/>
    </xf>
    <xf numFmtId="2" fontId="9" fillId="0" borderId="0" xfId="0" applyNumberFormat="1" applyFont="1" applyAlignment="1">
      <alignment horizontal="left" vertical="top"/>
    </xf>
    <xf numFmtId="2" fontId="9" fillId="0" borderId="1" xfId="0" applyNumberFormat="1" applyFont="1" applyBorder="1" applyAlignment="1">
      <alignment vertical="center" wrapText="1"/>
    </xf>
    <xf numFmtId="1" fontId="10" fillId="0" borderId="1" xfId="2" applyNumberFormat="1" applyFont="1" applyBorder="1" applyAlignment="1">
      <alignment vertical="center"/>
    </xf>
    <xf numFmtId="0" fontId="11" fillId="0" borderId="0" xfId="0" applyFont="1"/>
    <xf numFmtId="0" fontId="11" fillId="0" borderId="0" xfId="0" applyFont="1" applyAlignment="1">
      <alignment vertical="center" wrapText="1"/>
    </xf>
    <xf numFmtId="0" fontId="11" fillId="0" borderId="0" xfId="0" applyFont="1" applyAlignment="1">
      <alignment horizontal="left" vertical="top"/>
    </xf>
    <xf numFmtId="2" fontId="11" fillId="0" borderId="0" xfId="0" applyNumberFormat="1" applyFont="1"/>
    <xf numFmtId="2" fontId="11" fillId="0" borderId="0" xfId="0" applyNumberFormat="1" applyFont="1" applyAlignment="1">
      <alignment vertical="center"/>
    </xf>
    <xf numFmtId="1" fontId="11" fillId="0" borderId="0" xfId="0" applyNumberFormat="1" applyFont="1" applyAlignment="1">
      <alignment vertical="center"/>
    </xf>
    <xf numFmtId="165" fontId="11" fillId="0" borderId="0" xfId="0" applyNumberFormat="1" applyFont="1"/>
    <xf numFmtId="169" fontId="11" fillId="0" borderId="0" xfId="0" applyNumberFormat="1" applyFont="1"/>
    <xf numFmtId="167" fontId="11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2" fontId="4" fillId="0" borderId="0" xfId="0" applyNumberFormat="1" applyFont="1"/>
    <xf numFmtId="1" fontId="11" fillId="0" borderId="0" xfId="0" applyNumberFormat="1" applyFont="1"/>
    <xf numFmtId="164" fontId="11" fillId="0" borderId="0" xfId="0" applyNumberFormat="1" applyFont="1"/>
    <xf numFmtId="164" fontId="4" fillId="0" borderId="0" xfId="0" applyNumberFormat="1" applyFont="1"/>
    <xf numFmtId="166" fontId="11" fillId="0" borderId="0" xfId="0" applyNumberFormat="1" applyFont="1"/>
    <xf numFmtId="166" fontId="4" fillId="0" borderId="0" xfId="0" applyNumberFormat="1" applyFont="1"/>
    <xf numFmtId="165" fontId="11" fillId="0" borderId="0" xfId="0" applyNumberFormat="1" applyFont="1" applyAlignment="1">
      <alignment vertical="center"/>
    </xf>
    <xf numFmtId="169" fontId="11" fillId="0" borderId="0" xfId="0" applyNumberFormat="1" applyFont="1" applyAlignment="1">
      <alignment vertical="center"/>
    </xf>
    <xf numFmtId="2" fontId="11" fillId="0" borderId="0" xfId="0" applyNumberFormat="1" applyFont="1" applyAlignment="1">
      <alignment vertical="center" wrapText="1"/>
    </xf>
    <xf numFmtId="164" fontId="11" fillId="0" borderId="0" xfId="2" applyNumberFormat="1" applyFont="1" applyAlignment="1">
      <alignment vertical="center"/>
    </xf>
    <xf numFmtId="1" fontId="11" fillId="0" borderId="0" xfId="2" applyNumberFormat="1" applyFont="1" applyAlignment="1">
      <alignment vertical="center"/>
    </xf>
    <xf numFmtId="2" fontId="4" fillId="0" borderId="0" xfId="0" applyNumberFormat="1" applyFont="1" applyAlignment="1">
      <alignment vertical="center" wrapText="1"/>
    </xf>
    <xf numFmtId="0" fontId="12" fillId="0" borderId="0" xfId="0" applyFont="1" applyAlignment="1">
      <alignment horizontal="left" vertical="top"/>
    </xf>
    <xf numFmtId="0" fontId="4" fillId="0" borderId="0" xfId="0" applyFont="1"/>
    <xf numFmtId="1" fontId="12" fillId="0" borderId="0" xfId="0" applyNumberFormat="1" applyFont="1"/>
    <xf numFmtId="1" fontId="4" fillId="0" borderId="0" xfId="0" applyNumberFormat="1" applyFont="1" applyAlignment="1">
      <alignment vertical="center"/>
    </xf>
    <xf numFmtId="0" fontId="9" fillId="0" borderId="0" xfId="0" applyFont="1" applyAlignment="1">
      <alignment horizontal="left" vertical="top"/>
    </xf>
    <xf numFmtId="165" fontId="9" fillId="0" borderId="0" xfId="0" applyNumberFormat="1" applyFont="1"/>
    <xf numFmtId="167" fontId="9" fillId="0" borderId="0" xfId="0" applyNumberFormat="1" applyFont="1"/>
    <xf numFmtId="0" fontId="13" fillId="0" borderId="0" xfId="3" applyFont="1" applyFill="1"/>
    <xf numFmtId="0" fontId="14" fillId="0" borderId="0" xfId="0" applyFont="1" applyAlignment="1">
      <alignment horizontal="left"/>
    </xf>
    <xf numFmtId="2" fontId="14" fillId="0" borderId="0" xfId="0" applyNumberFormat="1" applyFont="1" applyAlignment="1">
      <alignment horizontal="right"/>
    </xf>
    <xf numFmtId="0" fontId="14" fillId="0" borderId="0" xfId="0" applyFont="1" applyAlignment="1">
      <alignment horizontal="right"/>
    </xf>
    <xf numFmtId="165" fontId="14" fillId="0" borderId="0" xfId="0" applyNumberFormat="1" applyFont="1" applyAlignment="1">
      <alignment horizontal="right"/>
    </xf>
    <xf numFmtId="169" fontId="14" fillId="0" borderId="0" xfId="0" applyNumberFormat="1" applyFont="1" applyAlignment="1">
      <alignment horizontal="right"/>
    </xf>
    <xf numFmtId="167" fontId="14" fillId="0" borderId="0" xfId="0" applyNumberFormat="1" applyFont="1" applyAlignment="1">
      <alignment horizontal="right"/>
    </xf>
    <xf numFmtId="167" fontId="6" fillId="0" borderId="0" xfId="0" applyNumberFormat="1" applyFont="1"/>
    <xf numFmtId="1" fontId="14" fillId="0" borderId="0" xfId="0" applyNumberFormat="1" applyFont="1" applyAlignment="1">
      <alignment horizontal="right"/>
    </xf>
    <xf numFmtId="165" fontId="6" fillId="0" borderId="0" xfId="0" applyNumberFormat="1" applyFont="1"/>
    <xf numFmtId="169" fontId="6" fillId="0" borderId="0" xfId="0" applyNumberFormat="1" applyFont="1"/>
    <xf numFmtId="0" fontId="14" fillId="0" borderId="0" xfId="0" applyFont="1"/>
    <xf numFmtId="164" fontId="14" fillId="0" borderId="0" xfId="0" applyNumberFormat="1" applyFont="1" applyAlignment="1">
      <alignment horizontal="right"/>
    </xf>
    <xf numFmtId="0" fontId="14" fillId="0" borderId="1" xfId="0" applyFont="1" applyBorder="1" applyAlignment="1">
      <alignment horizontal="right"/>
    </xf>
    <xf numFmtId="0" fontId="9" fillId="0" borderId="1" xfId="0" applyFont="1" applyBorder="1"/>
    <xf numFmtId="0" fontId="9" fillId="0" borderId="1" xfId="0" applyFont="1" applyBorder="1" applyAlignment="1">
      <alignment horizontal="left" vertical="top"/>
    </xf>
    <xf numFmtId="165" fontId="9" fillId="0" borderId="1" xfId="0" applyNumberFormat="1" applyFont="1" applyBorder="1"/>
    <xf numFmtId="167" fontId="9" fillId="0" borderId="1" xfId="0" applyNumberFormat="1" applyFont="1" applyBorder="1"/>
    <xf numFmtId="168" fontId="9" fillId="0" borderId="0" xfId="0" applyNumberFormat="1" applyFont="1"/>
    <xf numFmtId="0" fontId="14" fillId="0" borderId="0" xfId="0" applyFont="1" applyAlignment="1">
      <alignment horizontal="left" vertical="top"/>
    </xf>
    <xf numFmtId="0" fontId="14" fillId="0" borderId="1" xfId="0" applyFont="1" applyBorder="1" applyAlignment="1">
      <alignment horizontal="left"/>
    </xf>
    <xf numFmtId="0" fontId="14" fillId="0" borderId="1" xfId="0" applyFont="1" applyBorder="1"/>
    <xf numFmtId="2" fontId="14" fillId="0" borderId="1" xfId="0" applyNumberFormat="1" applyFont="1" applyBorder="1" applyAlignment="1">
      <alignment horizontal="right"/>
    </xf>
    <xf numFmtId="165" fontId="6" fillId="0" borderId="1" xfId="0" applyNumberFormat="1" applyFont="1" applyBorder="1"/>
    <xf numFmtId="164" fontId="14" fillId="0" borderId="1" xfId="0" applyNumberFormat="1" applyFont="1" applyBorder="1" applyAlignment="1">
      <alignment horizontal="right"/>
    </xf>
    <xf numFmtId="1" fontId="14" fillId="0" borderId="1" xfId="0" applyNumberFormat="1" applyFont="1" applyBorder="1" applyAlignment="1">
      <alignment horizontal="right"/>
    </xf>
    <xf numFmtId="0" fontId="15" fillId="0" borderId="0" xfId="0" applyFont="1" applyAlignment="1">
      <alignment horizontal="left"/>
    </xf>
    <xf numFmtId="0" fontId="15" fillId="0" borderId="0" xfId="0" applyFont="1"/>
    <xf numFmtId="0" fontId="4" fillId="0" borderId="0" xfId="0" applyFont="1" applyAlignment="1">
      <alignment horizontal="left" vertical="top"/>
    </xf>
    <xf numFmtId="165" fontId="4" fillId="0" borderId="0" xfId="0" applyNumberFormat="1" applyFont="1"/>
    <xf numFmtId="169" fontId="4" fillId="0" borderId="0" xfId="0" applyNumberFormat="1" applyFont="1"/>
    <xf numFmtId="167" fontId="4" fillId="0" borderId="0" xfId="0" applyNumberFormat="1" applyFont="1"/>
    <xf numFmtId="1" fontId="4" fillId="0" borderId="0" xfId="0" applyNumberFormat="1" applyFont="1"/>
    <xf numFmtId="0" fontId="15" fillId="0" borderId="0" xfId="0" applyFont="1" applyAlignment="1">
      <alignment horizontal="left" vertical="top"/>
    </xf>
    <xf numFmtId="2" fontId="15" fillId="0" borderId="0" xfId="0" applyNumberFormat="1" applyFont="1" applyAlignment="1">
      <alignment horizontal="right"/>
    </xf>
    <xf numFmtId="0" fontId="15" fillId="0" borderId="0" xfId="0" applyFont="1" applyAlignment="1">
      <alignment horizontal="right"/>
    </xf>
    <xf numFmtId="167" fontId="15" fillId="0" borderId="0" xfId="0" applyNumberFormat="1" applyFont="1" applyAlignment="1">
      <alignment horizontal="right"/>
    </xf>
    <xf numFmtId="1" fontId="15" fillId="0" borderId="0" xfId="0" applyNumberFormat="1" applyFont="1" applyAlignment="1">
      <alignment horizontal="right"/>
    </xf>
    <xf numFmtId="164" fontId="15" fillId="0" borderId="0" xfId="0" applyNumberFormat="1" applyFont="1" applyAlignment="1">
      <alignment horizontal="right"/>
    </xf>
    <xf numFmtId="167" fontId="11" fillId="0" borderId="0" xfId="0" applyNumberFormat="1" applyFont="1"/>
    <xf numFmtId="164" fontId="6" fillId="0" borderId="0" xfId="0" applyNumberFormat="1" applyFont="1"/>
    <xf numFmtId="1" fontId="6" fillId="0" borderId="0" xfId="0" applyNumberFormat="1" applyFont="1"/>
    <xf numFmtId="167" fontId="4" fillId="0" borderId="3" xfId="0" applyNumberFormat="1" applyFont="1" applyBorder="1"/>
    <xf numFmtId="2" fontId="9" fillId="0" borderId="2" xfId="0" applyNumberFormat="1" applyFont="1" applyBorder="1"/>
    <xf numFmtId="1" fontId="9" fillId="0" borderId="2" xfId="0" applyNumberFormat="1" applyFont="1" applyBorder="1"/>
    <xf numFmtId="1" fontId="6" fillId="0" borderId="2" xfId="0" applyNumberFormat="1" applyFont="1" applyBorder="1"/>
    <xf numFmtId="2" fontId="6" fillId="0" borderId="2" xfId="0" applyNumberFormat="1" applyFont="1" applyBorder="1"/>
    <xf numFmtId="164" fontId="9" fillId="0" borderId="2" xfId="0" applyNumberFormat="1" applyFont="1" applyBorder="1"/>
    <xf numFmtId="166" fontId="9" fillId="0" borderId="2" xfId="0" applyNumberFormat="1" applyFont="1" applyBorder="1"/>
    <xf numFmtId="0" fontId="6" fillId="0" borderId="1" xfId="0" applyFont="1" applyBorder="1" applyAlignment="1">
      <alignment horizontal="left" vertical="top"/>
    </xf>
    <xf numFmtId="1" fontId="6" fillId="0" borderId="1" xfId="0" applyNumberFormat="1" applyFont="1" applyBorder="1"/>
    <xf numFmtId="164" fontId="6" fillId="0" borderId="1" xfId="0" applyNumberFormat="1" applyFont="1" applyBorder="1"/>
    <xf numFmtId="2" fontId="6" fillId="0" borderId="0" xfId="0" applyNumberFormat="1" applyFont="1" applyAlignment="1">
      <alignment horizontal="right"/>
    </xf>
    <xf numFmtId="2" fontId="6" fillId="0" borderId="0" xfId="0" applyNumberFormat="1" applyFont="1" applyAlignment="1">
      <alignment horizontal="center"/>
    </xf>
    <xf numFmtId="168" fontId="6" fillId="0" borderId="0" xfId="0" applyNumberFormat="1" applyFont="1"/>
    <xf numFmtId="2" fontId="14" fillId="0" borderId="0" xfId="0" applyNumberFormat="1" applyFont="1" applyAlignment="1">
      <alignment vertical="center"/>
    </xf>
    <xf numFmtId="1" fontId="6" fillId="0" borderId="0" xfId="0" applyNumberFormat="1" applyFont="1" applyAlignment="1">
      <alignment vertical="center"/>
    </xf>
    <xf numFmtId="164" fontId="6" fillId="0" borderId="0" xfId="0" applyNumberFormat="1" applyFont="1" applyAlignment="1">
      <alignment vertical="center"/>
    </xf>
    <xf numFmtId="2" fontId="6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167" fontId="6" fillId="0" borderId="1" xfId="0" applyNumberFormat="1" applyFont="1" applyBorder="1"/>
    <xf numFmtId="168" fontId="6" fillId="0" borderId="1" xfId="0" applyNumberFormat="1" applyFont="1" applyBorder="1"/>
    <xf numFmtId="0" fontId="11" fillId="0" borderId="0" xfId="1" applyFont="1" applyAlignment="1">
      <alignment horizontal="center"/>
    </xf>
    <xf numFmtId="0" fontId="11" fillId="0" borderId="0" xfId="1" applyFont="1"/>
    <xf numFmtId="2" fontId="11" fillId="0" borderId="0" xfId="0" applyNumberFormat="1" applyFont="1" applyAlignment="1">
      <alignment horizontal="right"/>
    </xf>
    <xf numFmtId="0" fontId="11" fillId="0" borderId="0" xfId="0" applyFont="1" applyAlignment="1">
      <alignment horizontal="right"/>
    </xf>
    <xf numFmtId="0" fontId="16" fillId="0" borderId="0" xfId="1" applyFont="1" applyAlignment="1">
      <alignment horizontal="center"/>
    </xf>
    <xf numFmtId="0" fontId="16" fillId="0" borderId="0" xfId="1" applyFont="1"/>
  </cellXfs>
  <cellStyles count="4">
    <cellStyle name="Bad" xfId="3" builtinId="27"/>
    <cellStyle name="Normal" xfId="0" builtinId="0"/>
    <cellStyle name="Normale 2" xfId="1" xr:uid="{06BEFD14-95D1-4372-A39E-C0CF3244E0AA}"/>
    <cellStyle name="Normale_Foglio1" xfId="2" xr:uid="{A78E1B95-8D17-4BF9-B18B-4088B921199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17</xdr:col>
      <xdr:colOff>0</xdr:colOff>
      <xdr:row>112</xdr:row>
      <xdr:rowOff>0</xdr:rowOff>
    </xdr:from>
    <xdr:ext cx="76200" cy="262024"/>
    <xdr:sp macro="" textlink="">
      <xdr:nvSpPr>
        <xdr:cNvPr id="2" name="Text Box 25">
          <a:extLst>
            <a:ext uri="{FF2B5EF4-FFF2-40B4-BE49-F238E27FC236}">
              <a16:creationId xmlns:a16="http://schemas.microsoft.com/office/drawing/2014/main" id="{3AAE3931-1540-4CF3-A111-BC6D81F81E21}"/>
            </a:ext>
          </a:extLst>
        </xdr:cNvPr>
        <xdr:cNvSpPr txBox="1">
          <a:spLocks noChangeArrowheads="1"/>
        </xdr:cNvSpPr>
      </xdr:nvSpPr>
      <xdr:spPr bwMode="auto">
        <a:xfrm>
          <a:off x="10363200" y="20116800"/>
          <a:ext cx="76200" cy="262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112</xdr:row>
      <xdr:rowOff>0</xdr:rowOff>
    </xdr:from>
    <xdr:ext cx="76200" cy="262024"/>
    <xdr:sp macro="" textlink="">
      <xdr:nvSpPr>
        <xdr:cNvPr id="3" name="Text Box 26">
          <a:extLst>
            <a:ext uri="{FF2B5EF4-FFF2-40B4-BE49-F238E27FC236}">
              <a16:creationId xmlns:a16="http://schemas.microsoft.com/office/drawing/2014/main" id="{80C11C21-9B8D-4B16-A883-374DC227A726}"/>
            </a:ext>
          </a:extLst>
        </xdr:cNvPr>
        <xdr:cNvSpPr txBox="1">
          <a:spLocks noChangeArrowheads="1"/>
        </xdr:cNvSpPr>
      </xdr:nvSpPr>
      <xdr:spPr bwMode="auto">
        <a:xfrm>
          <a:off x="10363200" y="20116800"/>
          <a:ext cx="76200" cy="262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112</xdr:row>
      <xdr:rowOff>0</xdr:rowOff>
    </xdr:from>
    <xdr:ext cx="76200" cy="262024"/>
    <xdr:sp macro="" textlink="">
      <xdr:nvSpPr>
        <xdr:cNvPr id="4" name="Text Box 27">
          <a:extLst>
            <a:ext uri="{FF2B5EF4-FFF2-40B4-BE49-F238E27FC236}">
              <a16:creationId xmlns:a16="http://schemas.microsoft.com/office/drawing/2014/main" id="{B19D0406-AC9B-4EC7-99B0-131E73AF30ED}"/>
            </a:ext>
          </a:extLst>
        </xdr:cNvPr>
        <xdr:cNvSpPr txBox="1">
          <a:spLocks noChangeArrowheads="1"/>
        </xdr:cNvSpPr>
      </xdr:nvSpPr>
      <xdr:spPr bwMode="auto">
        <a:xfrm>
          <a:off x="10363200" y="20116800"/>
          <a:ext cx="76200" cy="262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112</xdr:row>
      <xdr:rowOff>0</xdr:rowOff>
    </xdr:from>
    <xdr:ext cx="76200" cy="262024"/>
    <xdr:sp macro="" textlink="">
      <xdr:nvSpPr>
        <xdr:cNvPr id="5" name="Text Box 28">
          <a:extLst>
            <a:ext uri="{FF2B5EF4-FFF2-40B4-BE49-F238E27FC236}">
              <a16:creationId xmlns:a16="http://schemas.microsoft.com/office/drawing/2014/main" id="{62FC57E6-6CDE-4865-B8CE-44822BCEE12A}"/>
            </a:ext>
          </a:extLst>
        </xdr:cNvPr>
        <xdr:cNvSpPr txBox="1">
          <a:spLocks noChangeArrowheads="1"/>
        </xdr:cNvSpPr>
      </xdr:nvSpPr>
      <xdr:spPr bwMode="auto">
        <a:xfrm>
          <a:off x="10363200" y="20116800"/>
          <a:ext cx="76200" cy="262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108</xdr:row>
      <xdr:rowOff>0</xdr:rowOff>
    </xdr:from>
    <xdr:ext cx="76200" cy="242765"/>
    <xdr:sp macro="" textlink="">
      <xdr:nvSpPr>
        <xdr:cNvPr id="6" name="Text Box 25">
          <a:extLst>
            <a:ext uri="{FF2B5EF4-FFF2-40B4-BE49-F238E27FC236}">
              <a16:creationId xmlns:a16="http://schemas.microsoft.com/office/drawing/2014/main" id="{77DE61C0-FCBB-4AED-A849-0471734743BE}"/>
            </a:ext>
          </a:extLst>
        </xdr:cNvPr>
        <xdr:cNvSpPr txBox="1">
          <a:spLocks noChangeArrowheads="1"/>
        </xdr:cNvSpPr>
      </xdr:nvSpPr>
      <xdr:spPr bwMode="auto">
        <a:xfrm>
          <a:off x="9753600" y="19385280"/>
          <a:ext cx="76200" cy="2427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108</xdr:row>
      <xdr:rowOff>0</xdr:rowOff>
    </xdr:from>
    <xdr:ext cx="76200" cy="242765"/>
    <xdr:sp macro="" textlink="">
      <xdr:nvSpPr>
        <xdr:cNvPr id="7" name="Text Box 26">
          <a:extLst>
            <a:ext uri="{FF2B5EF4-FFF2-40B4-BE49-F238E27FC236}">
              <a16:creationId xmlns:a16="http://schemas.microsoft.com/office/drawing/2014/main" id="{FF4D3CE7-425F-4FEE-A47E-1967E742E723}"/>
            </a:ext>
          </a:extLst>
        </xdr:cNvPr>
        <xdr:cNvSpPr txBox="1">
          <a:spLocks noChangeArrowheads="1"/>
        </xdr:cNvSpPr>
      </xdr:nvSpPr>
      <xdr:spPr bwMode="auto">
        <a:xfrm>
          <a:off x="9753600" y="19385280"/>
          <a:ext cx="76200" cy="2427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108</xdr:row>
      <xdr:rowOff>0</xdr:rowOff>
    </xdr:from>
    <xdr:ext cx="76200" cy="242765"/>
    <xdr:sp macro="" textlink="">
      <xdr:nvSpPr>
        <xdr:cNvPr id="8" name="Text Box 27">
          <a:extLst>
            <a:ext uri="{FF2B5EF4-FFF2-40B4-BE49-F238E27FC236}">
              <a16:creationId xmlns:a16="http://schemas.microsoft.com/office/drawing/2014/main" id="{E1BC4F84-230F-4CB5-8CCE-515F1EDB3A6B}"/>
            </a:ext>
          </a:extLst>
        </xdr:cNvPr>
        <xdr:cNvSpPr txBox="1">
          <a:spLocks noChangeArrowheads="1"/>
        </xdr:cNvSpPr>
      </xdr:nvSpPr>
      <xdr:spPr bwMode="auto">
        <a:xfrm>
          <a:off x="9753600" y="19385280"/>
          <a:ext cx="76200" cy="2427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108</xdr:row>
      <xdr:rowOff>0</xdr:rowOff>
    </xdr:from>
    <xdr:ext cx="76200" cy="242765"/>
    <xdr:sp macro="" textlink="">
      <xdr:nvSpPr>
        <xdr:cNvPr id="9" name="Text Box 28">
          <a:extLst>
            <a:ext uri="{FF2B5EF4-FFF2-40B4-BE49-F238E27FC236}">
              <a16:creationId xmlns:a16="http://schemas.microsoft.com/office/drawing/2014/main" id="{7A99013A-A61C-4126-B459-B10D9D9B37AB}"/>
            </a:ext>
          </a:extLst>
        </xdr:cNvPr>
        <xdr:cNvSpPr txBox="1">
          <a:spLocks noChangeArrowheads="1"/>
        </xdr:cNvSpPr>
      </xdr:nvSpPr>
      <xdr:spPr bwMode="auto">
        <a:xfrm>
          <a:off x="9753600" y="19385280"/>
          <a:ext cx="76200" cy="2427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108</xdr:row>
      <xdr:rowOff>0</xdr:rowOff>
    </xdr:from>
    <xdr:ext cx="76200" cy="242765"/>
    <xdr:sp macro="" textlink="">
      <xdr:nvSpPr>
        <xdr:cNvPr id="10" name="Text Box 25">
          <a:extLst>
            <a:ext uri="{FF2B5EF4-FFF2-40B4-BE49-F238E27FC236}">
              <a16:creationId xmlns:a16="http://schemas.microsoft.com/office/drawing/2014/main" id="{D60F4A97-77E3-4EB4-88E0-86398A6D2669}"/>
            </a:ext>
          </a:extLst>
        </xdr:cNvPr>
        <xdr:cNvSpPr txBox="1">
          <a:spLocks noChangeArrowheads="1"/>
        </xdr:cNvSpPr>
      </xdr:nvSpPr>
      <xdr:spPr bwMode="auto">
        <a:xfrm>
          <a:off x="10363200" y="19385280"/>
          <a:ext cx="76200" cy="2427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108</xdr:row>
      <xdr:rowOff>0</xdr:rowOff>
    </xdr:from>
    <xdr:ext cx="76200" cy="242765"/>
    <xdr:sp macro="" textlink="">
      <xdr:nvSpPr>
        <xdr:cNvPr id="11" name="Text Box 26">
          <a:extLst>
            <a:ext uri="{FF2B5EF4-FFF2-40B4-BE49-F238E27FC236}">
              <a16:creationId xmlns:a16="http://schemas.microsoft.com/office/drawing/2014/main" id="{E2BE2546-35AA-4125-86A3-245D058045C4}"/>
            </a:ext>
          </a:extLst>
        </xdr:cNvPr>
        <xdr:cNvSpPr txBox="1">
          <a:spLocks noChangeArrowheads="1"/>
        </xdr:cNvSpPr>
      </xdr:nvSpPr>
      <xdr:spPr bwMode="auto">
        <a:xfrm>
          <a:off x="10363200" y="19385280"/>
          <a:ext cx="76200" cy="2427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108</xdr:row>
      <xdr:rowOff>0</xdr:rowOff>
    </xdr:from>
    <xdr:ext cx="76200" cy="242765"/>
    <xdr:sp macro="" textlink="">
      <xdr:nvSpPr>
        <xdr:cNvPr id="12" name="Text Box 27">
          <a:extLst>
            <a:ext uri="{FF2B5EF4-FFF2-40B4-BE49-F238E27FC236}">
              <a16:creationId xmlns:a16="http://schemas.microsoft.com/office/drawing/2014/main" id="{D26FD92F-C18F-422A-A174-B60140057081}"/>
            </a:ext>
          </a:extLst>
        </xdr:cNvPr>
        <xdr:cNvSpPr txBox="1">
          <a:spLocks noChangeArrowheads="1"/>
        </xdr:cNvSpPr>
      </xdr:nvSpPr>
      <xdr:spPr bwMode="auto">
        <a:xfrm>
          <a:off x="10363200" y="19385280"/>
          <a:ext cx="76200" cy="2427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108</xdr:row>
      <xdr:rowOff>0</xdr:rowOff>
    </xdr:from>
    <xdr:ext cx="76200" cy="242765"/>
    <xdr:sp macro="" textlink="">
      <xdr:nvSpPr>
        <xdr:cNvPr id="13" name="Text Box 28">
          <a:extLst>
            <a:ext uri="{FF2B5EF4-FFF2-40B4-BE49-F238E27FC236}">
              <a16:creationId xmlns:a16="http://schemas.microsoft.com/office/drawing/2014/main" id="{A20783F0-9838-40B9-8888-6694B946573A}"/>
            </a:ext>
          </a:extLst>
        </xdr:cNvPr>
        <xdr:cNvSpPr txBox="1">
          <a:spLocks noChangeArrowheads="1"/>
        </xdr:cNvSpPr>
      </xdr:nvSpPr>
      <xdr:spPr bwMode="auto">
        <a:xfrm>
          <a:off x="10363200" y="19385280"/>
          <a:ext cx="76200" cy="2427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108</xdr:row>
      <xdr:rowOff>0</xdr:rowOff>
    </xdr:from>
    <xdr:ext cx="76200" cy="280866"/>
    <xdr:sp macro="" textlink="">
      <xdr:nvSpPr>
        <xdr:cNvPr id="14" name="Text Box 25">
          <a:extLst>
            <a:ext uri="{FF2B5EF4-FFF2-40B4-BE49-F238E27FC236}">
              <a16:creationId xmlns:a16="http://schemas.microsoft.com/office/drawing/2014/main" id="{33B09291-8AAB-4EB1-9558-7C2FD6A0B37D}"/>
            </a:ext>
          </a:extLst>
        </xdr:cNvPr>
        <xdr:cNvSpPr txBox="1">
          <a:spLocks noChangeArrowheads="1"/>
        </xdr:cNvSpPr>
      </xdr:nvSpPr>
      <xdr:spPr bwMode="auto">
        <a:xfrm>
          <a:off x="10363200" y="19385280"/>
          <a:ext cx="76200" cy="2808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108</xdr:row>
      <xdr:rowOff>0</xdr:rowOff>
    </xdr:from>
    <xdr:ext cx="76200" cy="280866"/>
    <xdr:sp macro="" textlink="">
      <xdr:nvSpPr>
        <xdr:cNvPr id="15" name="Text Box 26">
          <a:extLst>
            <a:ext uri="{FF2B5EF4-FFF2-40B4-BE49-F238E27FC236}">
              <a16:creationId xmlns:a16="http://schemas.microsoft.com/office/drawing/2014/main" id="{753C64A3-D32D-4840-8E5E-9DDB0D93342C}"/>
            </a:ext>
          </a:extLst>
        </xdr:cNvPr>
        <xdr:cNvSpPr txBox="1">
          <a:spLocks noChangeArrowheads="1"/>
        </xdr:cNvSpPr>
      </xdr:nvSpPr>
      <xdr:spPr bwMode="auto">
        <a:xfrm>
          <a:off x="10363200" y="19385280"/>
          <a:ext cx="76200" cy="2808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108</xdr:row>
      <xdr:rowOff>0</xdr:rowOff>
    </xdr:from>
    <xdr:ext cx="76200" cy="280866"/>
    <xdr:sp macro="" textlink="">
      <xdr:nvSpPr>
        <xdr:cNvPr id="16" name="Text Box 27">
          <a:extLst>
            <a:ext uri="{FF2B5EF4-FFF2-40B4-BE49-F238E27FC236}">
              <a16:creationId xmlns:a16="http://schemas.microsoft.com/office/drawing/2014/main" id="{356D1C91-C791-4369-8407-7CEA8BADFEF4}"/>
            </a:ext>
          </a:extLst>
        </xdr:cNvPr>
        <xdr:cNvSpPr txBox="1">
          <a:spLocks noChangeArrowheads="1"/>
        </xdr:cNvSpPr>
      </xdr:nvSpPr>
      <xdr:spPr bwMode="auto">
        <a:xfrm>
          <a:off x="10363200" y="19385280"/>
          <a:ext cx="76200" cy="2808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108</xdr:row>
      <xdr:rowOff>0</xdr:rowOff>
    </xdr:from>
    <xdr:ext cx="76200" cy="280866"/>
    <xdr:sp macro="" textlink="">
      <xdr:nvSpPr>
        <xdr:cNvPr id="17" name="Text Box 28">
          <a:extLst>
            <a:ext uri="{FF2B5EF4-FFF2-40B4-BE49-F238E27FC236}">
              <a16:creationId xmlns:a16="http://schemas.microsoft.com/office/drawing/2014/main" id="{6B636972-1CEA-4F0D-8033-465D3F107876}"/>
            </a:ext>
          </a:extLst>
        </xdr:cNvPr>
        <xdr:cNvSpPr txBox="1">
          <a:spLocks noChangeArrowheads="1"/>
        </xdr:cNvSpPr>
      </xdr:nvSpPr>
      <xdr:spPr bwMode="auto">
        <a:xfrm>
          <a:off x="10363200" y="19385280"/>
          <a:ext cx="76200" cy="2808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257176"/>
    <xdr:sp macro="" textlink="">
      <xdr:nvSpPr>
        <xdr:cNvPr id="18" name="Text Box 25">
          <a:extLst>
            <a:ext uri="{FF2B5EF4-FFF2-40B4-BE49-F238E27FC236}">
              <a16:creationId xmlns:a16="http://schemas.microsoft.com/office/drawing/2014/main" id="{DF6BFB1F-54A9-48E0-9003-2C8B75CE4DA7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257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262026"/>
    <xdr:sp macro="" textlink="">
      <xdr:nvSpPr>
        <xdr:cNvPr id="19" name="Text Box 26">
          <a:extLst>
            <a:ext uri="{FF2B5EF4-FFF2-40B4-BE49-F238E27FC236}">
              <a16:creationId xmlns:a16="http://schemas.microsoft.com/office/drawing/2014/main" id="{44CC3CA5-D763-4E70-ACFA-C23756C7C2C7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262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262024"/>
    <xdr:sp macro="" textlink="">
      <xdr:nvSpPr>
        <xdr:cNvPr id="20" name="Text Box 27">
          <a:extLst>
            <a:ext uri="{FF2B5EF4-FFF2-40B4-BE49-F238E27FC236}">
              <a16:creationId xmlns:a16="http://schemas.microsoft.com/office/drawing/2014/main" id="{1D590FC2-9C6B-4C87-8C39-68C3FC3C48C0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262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108</xdr:row>
      <xdr:rowOff>0</xdr:rowOff>
    </xdr:from>
    <xdr:ext cx="76200" cy="242766"/>
    <xdr:sp macro="" textlink="">
      <xdr:nvSpPr>
        <xdr:cNvPr id="21" name="Text Box 28">
          <a:extLst>
            <a:ext uri="{FF2B5EF4-FFF2-40B4-BE49-F238E27FC236}">
              <a16:creationId xmlns:a16="http://schemas.microsoft.com/office/drawing/2014/main" id="{B81A8165-DC84-462F-B5B2-290529BD1B09}"/>
            </a:ext>
          </a:extLst>
        </xdr:cNvPr>
        <xdr:cNvSpPr txBox="1">
          <a:spLocks noChangeArrowheads="1"/>
        </xdr:cNvSpPr>
      </xdr:nvSpPr>
      <xdr:spPr bwMode="auto">
        <a:xfrm>
          <a:off x="9753600" y="19385280"/>
          <a:ext cx="76200" cy="2427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108</xdr:row>
      <xdr:rowOff>0</xdr:rowOff>
    </xdr:from>
    <xdr:ext cx="76200" cy="317150"/>
    <xdr:sp macro="" textlink="">
      <xdr:nvSpPr>
        <xdr:cNvPr id="22" name="Text Box 25">
          <a:extLst>
            <a:ext uri="{FF2B5EF4-FFF2-40B4-BE49-F238E27FC236}">
              <a16:creationId xmlns:a16="http://schemas.microsoft.com/office/drawing/2014/main" id="{65A0F98E-AD96-4AEC-B44C-81EE7CC93DDE}"/>
            </a:ext>
          </a:extLst>
        </xdr:cNvPr>
        <xdr:cNvSpPr txBox="1">
          <a:spLocks noChangeArrowheads="1"/>
        </xdr:cNvSpPr>
      </xdr:nvSpPr>
      <xdr:spPr bwMode="auto">
        <a:xfrm>
          <a:off x="9753600" y="19385280"/>
          <a:ext cx="76200" cy="317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108</xdr:row>
      <xdr:rowOff>0</xdr:rowOff>
    </xdr:from>
    <xdr:ext cx="76200" cy="317150"/>
    <xdr:sp macro="" textlink="">
      <xdr:nvSpPr>
        <xdr:cNvPr id="23" name="Text Box 26">
          <a:extLst>
            <a:ext uri="{FF2B5EF4-FFF2-40B4-BE49-F238E27FC236}">
              <a16:creationId xmlns:a16="http://schemas.microsoft.com/office/drawing/2014/main" id="{761E6A5E-8D7F-4E5D-9E0A-627ECE62D9E4}"/>
            </a:ext>
          </a:extLst>
        </xdr:cNvPr>
        <xdr:cNvSpPr txBox="1">
          <a:spLocks noChangeArrowheads="1"/>
        </xdr:cNvSpPr>
      </xdr:nvSpPr>
      <xdr:spPr bwMode="auto">
        <a:xfrm>
          <a:off x="9753600" y="19385280"/>
          <a:ext cx="76200" cy="317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108</xdr:row>
      <xdr:rowOff>0</xdr:rowOff>
    </xdr:from>
    <xdr:ext cx="76200" cy="317150"/>
    <xdr:sp macro="" textlink="">
      <xdr:nvSpPr>
        <xdr:cNvPr id="24" name="Text Box 27">
          <a:extLst>
            <a:ext uri="{FF2B5EF4-FFF2-40B4-BE49-F238E27FC236}">
              <a16:creationId xmlns:a16="http://schemas.microsoft.com/office/drawing/2014/main" id="{470BF77B-7E5B-4CA9-9D6C-29CC7E4C3E0B}"/>
            </a:ext>
          </a:extLst>
        </xdr:cNvPr>
        <xdr:cNvSpPr txBox="1">
          <a:spLocks noChangeArrowheads="1"/>
        </xdr:cNvSpPr>
      </xdr:nvSpPr>
      <xdr:spPr bwMode="auto">
        <a:xfrm>
          <a:off x="9753600" y="19385280"/>
          <a:ext cx="76200" cy="317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108</xdr:row>
      <xdr:rowOff>0</xdr:rowOff>
    </xdr:from>
    <xdr:ext cx="76200" cy="317150"/>
    <xdr:sp macro="" textlink="">
      <xdr:nvSpPr>
        <xdr:cNvPr id="25" name="Text Box 28">
          <a:extLst>
            <a:ext uri="{FF2B5EF4-FFF2-40B4-BE49-F238E27FC236}">
              <a16:creationId xmlns:a16="http://schemas.microsoft.com/office/drawing/2014/main" id="{0652955B-E98E-44D7-AB3E-6FEA570D9321}"/>
            </a:ext>
          </a:extLst>
        </xdr:cNvPr>
        <xdr:cNvSpPr txBox="1">
          <a:spLocks noChangeArrowheads="1"/>
        </xdr:cNvSpPr>
      </xdr:nvSpPr>
      <xdr:spPr bwMode="auto">
        <a:xfrm>
          <a:off x="9753600" y="19385280"/>
          <a:ext cx="76200" cy="317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108</xdr:row>
      <xdr:rowOff>0</xdr:rowOff>
    </xdr:from>
    <xdr:ext cx="76200" cy="279050"/>
    <xdr:sp macro="" textlink="">
      <xdr:nvSpPr>
        <xdr:cNvPr id="26" name="Text Box 25">
          <a:extLst>
            <a:ext uri="{FF2B5EF4-FFF2-40B4-BE49-F238E27FC236}">
              <a16:creationId xmlns:a16="http://schemas.microsoft.com/office/drawing/2014/main" id="{F33C1A81-D14A-46DA-B7DE-893FE36C1683}"/>
            </a:ext>
          </a:extLst>
        </xdr:cNvPr>
        <xdr:cNvSpPr txBox="1">
          <a:spLocks noChangeArrowheads="1"/>
        </xdr:cNvSpPr>
      </xdr:nvSpPr>
      <xdr:spPr bwMode="auto">
        <a:xfrm>
          <a:off x="9753600" y="19385280"/>
          <a:ext cx="76200" cy="27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108</xdr:row>
      <xdr:rowOff>0</xdr:rowOff>
    </xdr:from>
    <xdr:ext cx="76200" cy="279050"/>
    <xdr:sp macro="" textlink="">
      <xdr:nvSpPr>
        <xdr:cNvPr id="27" name="Text Box 26">
          <a:extLst>
            <a:ext uri="{FF2B5EF4-FFF2-40B4-BE49-F238E27FC236}">
              <a16:creationId xmlns:a16="http://schemas.microsoft.com/office/drawing/2014/main" id="{9C14996D-41DA-432A-8C80-397C8995F693}"/>
            </a:ext>
          </a:extLst>
        </xdr:cNvPr>
        <xdr:cNvSpPr txBox="1">
          <a:spLocks noChangeArrowheads="1"/>
        </xdr:cNvSpPr>
      </xdr:nvSpPr>
      <xdr:spPr bwMode="auto">
        <a:xfrm>
          <a:off x="9753600" y="19385280"/>
          <a:ext cx="76200" cy="27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108</xdr:row>
      <xdr:rowOff>0</xdr:rowOff>
    </xdr:from>
    <xdr:ext cx="76200" cy="279050"/>
    <xdr:sp macro="" textlink="">
      <xdr:nvSpPr>
        <xdr:cNvPr id="28" name="Text Box 27">
          <a:extLst>
            <a:ext uri="{FF2B5EF4-FFF2-40B4-BE49-F238E27FC236}">
              <a16:creationId xmlns:a16="http://schemas.microsoft.com/office/drawing/2014/main" id="{8586D2A8-A32D-4659-9ED3-0929562B11D8}"/>
            </a:ext>
          </a:extLst>
        </xdr:cNvPr>
        <xdr:cNvSpPr txBox="1">
          <a:spLocks noChangeArrowheads="1"/>
        </xdr:cNvSpPr>
      </xdr:nvSpPr>
      <xdr:spPr bwMode="auto">
        <a:xfrm>
          <a:off x="9753600" y="19385280"/>
          <a:ext cx="76200" cy="27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108</xdr:row>
      <xdr:rowOff>0</xdr:rowOff>
    </xdr:from>
    <xdr:ext cx="76200" cy="279050"/>
    <xdr:sp macro="" textlink="">
      <xdr:nvSpPr>
        <xdr:cNvPr id="29" name="Text Box 28">
          <a:extLst>
            <a:ext uri="{FF2B5EF4-FFF2-40B4-BE49-F238E27FC236}">
              <a16:creationId xmlns:a16="http://schemas.microsoft.com/office/drawing/2014/main" id="{C0FCA30A-A826-4875-817C-A6EC958BB24C}"/>
            </a:ext>
          </a:extLst>
        </xdr:cNvPr>
        <xdr:cNvSpPr txBox="1">
          <a:spLocks noChangeArrowheads="1"/>
        </xdr:cNvSpPr>
      </xdr:nvSpPr>
      <xdr:spPr bwMode="auto">
        <a:xfrm>
          <a:off x="9753600" y="19385280"/>
          <a:ext cx="76200" cy="27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59</xdr:row>
      <xdr:rowOff>0</xdr:rowOff>
    </xdr:from>
    <xdr:ext cx="76200" cy="242763"/>
    <xdr:sp macro="" textlink="">
      <xdr:nvSpPr>
        <xdr:cNvPr id="30" name="Text Box 25">
          <a:extLst>
            <a:ext uri="{FF2B5EF4-FFF2-40B4-BE49-F238E27FC236}">
              <a16:creationId xmlns:a16="http://schemas.microsoft.com/office/drawing/2014/main" id="{C21672D3-0C7D-4739-B771-DC1E687A1888}"/>
            </a:ext>
          </a:extLst>
        </xdr:cNvPr>
        <xdr:cNvSpPr txBox="1">
          <a:spLocks noChangeArrowheads="1"/>
        </xdr:cNvSpPr>
      </xdr:nvSpPr>
      <xdr:spPr bwMode="auto">
        <a:xfrm>
          <a:off x="9753600" y="10424160"/>
          <a:ext cx="76200" cy="2427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59</xdr:row>
      <xdr:rowOff>0</xdr:rowOff>
    </xdr:from>
    <xdr:ext cx="76200" cy="242763"/>
    <xdr:sp macro="" textlink="">
      <xdr:nvSpPr>
        <xdr:cNvPr id="31" name="Text Box 26">
          <a:extLst>
            <a:ext uri="{FF2B5EF4-FFF2-40B4-BE49-F238E27FC236}">
              <a16:creationId xmlns:a16="http://schemas.microsoft.com/office/drawing/2014/main" id="{B149AF08-0EFA-4959-AF42-55F931743F44}"/>
            </a:ext>
          </a:extLst>
        </xdr:cNvPr>
        <xdr:cNvSpPr txBox="1">
          <a:spLocks noChangeArrowheads="1"/>
        </xdr:cNvSpPr>
      </xdr:nvSpPr>
      <xdr:spPr bwMode="auto">
        <a:xfrm>
          <a:off x="9753600" y="10424160"/>
          <a:ext cx="76200" cy="2427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59</xdr:row>
      <xdr:rowOff>0</xdr:rowOff>
    </xdr:from>
    <xdr:ext cx="76200" cy="242763"/>
    <xdr:sp macro="" textlink="">
      <xdr:nvSpPr>
        <xdr:cNvPr id="32" name="Text Box 27">
          <a:extLst>
            <a:ext uri="{FF2B5EF4-FFF2-40B4-BE49-F238E27FC236}">
              <a16:creationId xmlns:a16="http://schemas.microsoft.com/office/drawing/2014/main" id="{674A1967-7C52-48AD-B31C-893946EBADCD}"/>
            </a:ext>
          </a:extLst>
        </xdr:cNvPr>
        <xdr:cNvSpPr txBox="1">
          <a:spLocks noChangeArrowheads="1"/>
        </xdr:cNvSpPr>
      </xdr:nvSpPr>
      <xdr:spPr bwMode="auto">
        <a:xfrm>
          <a:off x="9753600" y="10424160"/>
          <a:ext cx="76200" cy="2427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59</xdr:row>
      <xdr:rowOff>0</xdr:rowOff>
    </xdr:from>
    <xdr:ext cx="76200" cy="242763"/>
    <xdr:sp macro="" textlink="">
      <xdr:nvSpPr>
        <xdr:cNvPr id="33" name="Text Box 28">
          <a:extLst>
            <a:ext uri="{FF2B5EF4-FFF2-40B4-BE49-F238E27FC236}">
              <a16:creationId xmlns:a16="http://schemas.microsoft.com/office/drawing/2014/main" id="{6E8B3406-1221-4CB5-A8BD-56F36048CF8E}"/>
            </a:ext>
          </a:extLst>
        </xdr:cNvPr>
        <xdr:cNvSpPr txBox="1">
          <a:spLocks noChangeArrowheads="1"/>
        </xdr:cNvSpPr>
      </xdr:nvSpPr>
      <xdr:spPr bwMode="auto">
        <a:xfrm>
          <a:off x="9753600" y="10424160"/>
          <a:ext cx="76200" cy="2427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262023"/>
    <xdr:sp macro="" textlink="">
      <xdr:nvSpPr>
        <xdr:cNvPr id="34" name="Text Box 25">
          <a:extLst>
            <a:ext uri="{FF2B5EF4-FFF2-40B4-BE49-F238E27FC236}">
              <a16:creationId xmlns:a16="http://schemas.microsoft.com/office/drawing/2014/main" id="{F8BB3F28-5F84-4825-8798-97479CD78624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26202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262023"/>
    <xdr:sp macro="" textlink="">
      <xdr:nvSpPr>
        <xdr:cNvPr id="35" name="Text Box 26">
          <a:extLst>
            <a:ext uri="{FF2B5EF4-FFF2-40B4-BE49-F238E27FC236}">
              <a16:creationId xmlns:a16="http://schemas.microsoft.com/office/drawing/2014/main" id="{DB650A01-614A-421A-B8E9-3A903B81713F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26202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262023"/>
    <xdr:sp macro="" textlink="">
      <xdr:nvSpPr>
        <xdr:cNvPr id="36" name="Text Box 27">
          <a:extLst>
            <a:ext uri="{FF2B5EF4-FFF2-40B4-BE49-F238E27FC236}">
              <a16:creationId xmlns:a16="http://schemas.microsoft.com/office/drawing/2014/main" id="{569174AF-15FE-423E-993B-AB0CD1AF77A3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26202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262023"/>
    <xdr:sp macro="" textlink="">
      <xdr:nvSpPr>
        <xdr:cNvPr id="37" name="Text Box 28">
          <a:extLst>
            <a:ext uri="{FF2B5EF4-FFF2-40B4-BE49-F238E27FC236}">
              <a16:creationId xmlns:a16="http://schemas.microsoft.com/office/drawing/2014/main" id="{B2AC4B6B-D4E1-42F2-9068-7C27924A57AB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26202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108</xdr:row>
      <xdr:rowOff>0</xdr:rowOff>
    </xdr:from>
    <xdr:ext cx="76200" cy="242763"/>
    <xdr:sp macro="" textlink="">
      <xdr:nvSpPr>
        <xdr:cNvPr id="38" name="Text Box 25">
          <a:extLst>
            <a:ext uri="{FF2B5EF4-FFF2-40B4-BE49-F238E27FC236}">
              <a16:creationId xmlns:a16="http://schemas.microsoft.com/office/drawing/2014/main" id="{01B8B1D0-4839-4EA4-9466-C3D024CF4B10}"/>
            </a:ext>
          </a:extLst>
        </xdr:cNvPr>
        <xdr:cNvSpPr txBox="1">
          <a:spLocks noChangeArrowheads="1"/>
        </xdr:cNvSpPr>
      </xdr:nvSpPr>
      <xdr:spPr bwMode="auto">
        <a:xfrm>
          <a:off x="10363200" y="19385280"/>
          <a:ext cx="76200" cy="2427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108</xdr:row>
      <xdr:rowOff>0</xdr:rowOff>
    </xdr:from>
    <xdr:ext cx="76200" cy="242763"/>
    <xdr:sp macro="" textlink="">
      <xdr:nvSpPr>
        <xdr:cNvPr id="39" name="Text Box 26">
          <a:extLst>
            <a:ext uri="{FF2B5EF4-FFF2-40B4-BE49-F238E27FC236}">
              <a16:creationId xmlns:a16="http://schemas.microsoft.com/office/drawing/2014/main" id="{F39C6F51-1A94-4FE3-B0B6-A0BBE4A68B9B}"/>
            </a:ext>
          </a:extLst>
        </xdr:cNvPr>
        <xdr:cNvSpPr txBox="1">
          <a:spLocks noChangeArrowheads="1"/>
        </xdr:cNvSpPr>
      </xdr:nvSpPr>
      <xdr:spPr bwMode="auto">
        <a:xfrm>
          <a:off x="10363200" y="19385280"/>
          <a:ext cx="76200" cy="2427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108</xdr:row>
      <xdr:rowOff>0</xdr:rowOff>
    </xdr:from>
    <xdr:ext cx="76200" cy="242763"/>
    <xdr:sp macro="" textlink="">
      <xdr:nvSpPr>
        <xdr:cNvPr id="40" name="Text Box 27">
          <a:extLst>
            <a:ext uri="{FF2B5EF4-FFF2-40B4-BE49-F238E27FC236}">
              <a16:creationId xmlns:a16="http://schemas.microsoft.com/office/drawing/2014/main" id="{61D123FD-C89C-4C39-9B12-2B6BA26F7070}"/>
            </a:ext>
          </a:extLst>
        </xdr:cNvPr>
        <xdr:cNvSpPr txBox="1">
          <a:spLocks noChangeArrowheads="1"/>
        </xdr:cNvSpPr>
      </xdr:nvSpPr>
      <xdr:spPr bwMode="auto">
        <a:xfrm>
          <a:off x="10363200" y="19385280"/>
          <a:ext cx="76200" cy="2427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108</xdr:row>
      <xdr:rowOff>0</xdr:rowOff>
    </xdr:from>
    <xdr:ext cx="76200" cy="242763"/>
    <xdr:sp macro="" textlink="">
      <xdr:nvSpPr>
        <xdr:cNvPr id="41" name="Text Box 28">
          <a:extLst>
            <a:ext uri="{FF2B5EF4-FFF2-40B4-BE49-F238E27FC236}">
              <a16:creationId xmlns:a16="http://schemas.microsoft.com/office/drawing/2014/main" id="{08E295F4-676C-48B6-82F0-E56E9B1DF2F0}"/>
            </a:ext>
          </a:extLst>
        </xdr:cNvPr>
        <xdr:cNvSpPr txBox="1">
          <a:spLocks noChangeArrowheads="1"/>
        </xdr:cNvSpPr>
      </xdr:nvSpPr>
      <xdr:spPr bwMode="auto">
        <a:xfrm>
          <a:off x="10363200" y="19385280"/>
          <a:ext cx="76200" cy="2427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108</xdr:row>
      <xdr:rowOff>0</xdr:rowOff>
    </xdr:from>
    <xdr:ext cx="76200" cy="242764"/>
    <xdr:sp macro="" textlink="">
      <xdr:nvSpPr>
        <xdr:cNvPr id="42" name="Text Box 25">
          <a:extLst>
            <a:ext uri="{FF2B5EF4-FFF2-40B4-BE49-F238E27FC236}">
              <a16:creationId xmlns:a16="http://schemas.microsoft.com/office/drawing/2014/main" id="{A0BEDE88-FFA5-40E6-B4CE-EB5F1C89E303}"/>
            </a:ext>
          </a:extLst>
        </xdr:cNvPr>
        <xdr:cNvSpPr txBox="1">
          <a:spLocks noChangeArrowheads="1"/>
        </xdr:cNvSpPr>
      </xdr:nvSpPr>
      <xdr:spPr bwMode="auto">
        <a:xfrm>
          <a:off x="9753600" y="19385280"/>
          <a:ext cx="76200" cy="2427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108</xdr:row>
      <xdr:rowOff>0</xdr:rowOff>
    </xdr:from>
    <xdr:ext cx="76200" cy="242764"/>
    <xdr:sp macro="" textlink="">
      <xdr:nvSpPr>
        <xdr:cNvPr id="43" name="Text Box 26">
          <a:extLst>
            <a:ext uri="{FF2B5EF4-FFF2-40B4-BE49-F238E27FC236}">
              <a16:creationId xmlns:a16="http://schemas.microsoft.com/office/drawing/2014/main" id="{11B7C2B7-A940-4BFF-B54E-301847ABEF84}"/>
            </a:ext>
          </a:extLst>
        </xdr:cNvPr>
        <xdr:cNvSpPr txBox="1">
          <a:spLocks noChangeArrowheads="1"/>
        </xdr:cNvSpPr>
      </xdr:nvSpPr>
      <xdr:spPr bwMode="auto">
        <a:xfrm>
          <a:off x="9753600" y="19385280"/>
          <a:ext cx="76200" cy="2427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108</xdr:row>
      <xdr:rowOff>0</xdr:rowOff>
    </xdr:from>
    <xdr:ext cx="76200" cy="242764"/>
    <xdr:sp macro="" textlink="">
      <xdr:nvSpPr>
        <xdr:cNvPr id="44" name="Text Box 27">
          <a:extLst>
            <a:ext uri="{FF2B5EF4-FFF2-40B4-BE49-F238E27FC236}">
              <a16:creationId xmlns:a16="http://schemas.microsoft.com/office/drawing/2014/main" id="{FAD3738F-56FD-4E3C-8889-A52EE25C608C}"/>
            </a:ext>
          </a:extLst>
        </xdr:cNvPr>
        <xdr:cNvSpPr txBox="1">
          <a:spLocks noChangeArrowheads="1"/>
        </xdr:cNvSpPr>
      </xdr:nvSpPr>
      <xdr:spPr bwMode="auto">
        <a:xfrm>
          <a:off x="9753600" y="19385280"/>
          <a:ext cx="76200" cy="2427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108</xdr:row>
      <xdr:rowOff>0</xdr:rowOff>
    </xdr:from>
    <xdr:ext cx="76200" cy="242764"/>
    <xdr:sp macro="" textlink="">
      <xdr:nvSpPr>
        <xdr:cNvPr id="45" name="Text Box 28">
          <a:extLst>
            <a:ext uri="{FF2B5EF4-FFF2-40B4-BE49-F238E27FC236}">
              <a16:creationId xmlns:a16="http://schemas.microsoft.com/office/drawing/2014/main" id="{35B6FAF4-0FF0-4C9C-95FF-D148E04B163E}"/>
            </a:ext>
          </a:extLst>
        </xdr:cNvPr>
        <xdr:cNvSpPr txBox="1">
          <a:spLocks noChangeArrowheads="1"/>
        </xdr:cNvSpPr>
      </xdr:nvSpPr>
      <xdr:spPr bwMode="auto">
        <a:xfrm>
          <a:off x="9753600" y="19385280"/>
          <a:ext cx="76200" cy="2427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108</xdr:row>
      <xdr:rowOff>0</xdr:rowOff>
    </xdr:from>
    <xdr:ext cx="76200" cy="280867"/>
    <xdr:sp macro="" textlink="">
      <xdr:nvSpPr>
        <xdr:cNvPr id="46" name="Text Box 25">
          <a:extLst>
            <a:ext uri="{FF2B5EF4-FFF2-40B4-BE49-F238E27FC236}">
              <a16:creationId xmlns:a16="http://schemas.microsoft.com/office/drawing/2014/main" id="{FF06CF32-7302-429D-BA7A-5AEF63E4B65C}"/>
            </a:ext>
          </a:extLst>
        </xdr:cNvPr>
        <xdr:cNvSpPr txBox="1">
          <a:spLocks noChangeArrowheads="1"/>
        </xdr:cNvSpPr>
      </xdr:nvSpPr>
      <xdr:spPr bwMode="auto">
        <a:xfrm>
          <a:off x="10363200" y="19385280"/>
          <a:ext cx="76200" cy="28086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108</xdr:row>
      <xdr:rowOff>0</xdr:rowOff>
    </xdr:from>
    <xdr:ext cx="76200" cy="280867"/>
    <xdr:sp macro="" textlink="">
      <xdr:nvSpPr>
        <xdr:cNvPr id="47" name="Text Box 26">
          <a:extLst>
            <a:ext uri="{FF2B5EF4-FFF2-40B4-BE49-F238E27FC236}">
              <a16:creationId xmlns:a16="http://schemas.microsoft.com/office/drawing/2014/main" id="{14E64735-3F2A-4C0D-AE92-109262416550}"/>
            </a:ext>
          </a:extLst>
        </xdr:cNvPr>
        <xdr:cNvSpPr txBox="1">
          <a:spLocks noChangeArrowheads="1"/>
        </xdr:cNvSpPr>
      </xdr:nvSpPr>
      <xdr:spPr bwMode="auto">
        <a:xfrm>
          <a:off x="10363200" y="19385280"/>
          <a:ext cx="76200" cy="28086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108</xdr:row>
      <xdr:rowOff>0</xdr:rowOff>
    </xdr:from>
    <xdr:ext cx="76200" cy="280867"/>
    <xdr:sp macro="" textlink="">
      <xdr:nvSpPr>
        <xdr:cNvPr id="48" name="Text Box 27">
          <a:extLst>
            <a:ext uri="{FF2B5EF4-FFF2-40B4-BE49-F238E27FC236}">
              <a16:creationId xmlns:a16="http://schemas.microsoft.com/office/drawing/2014/main" id="{2F4AE634-3246-42A5-82BF-4FDC1603ADF6}"/>
            </a:ext>
          </a:extLst>
        </xdr:cNvPr>
        <xdr:cNvSpPr txBox="1">
          <a:spLocks noChangeArrowheads="1"/>
        </xdr:cNvSpPr>
      </xdr:nvSpPr>
      <xdr:spPr bwMode="auto">
        <a:xfrm>
          <a:off x="10363200" y="19385280"/>
          <a:ext cx="76200" cy="28086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108</xdr:row>
      <xdr:rowOff>0</xdr:rowOff>
    </xdr:from>
    <xdr:ext cx="76200" cy="280867"/>
    <xdr:sp macro="" textlink="">
      <xdr:nvSpPr>
        <xdr:cNvPr id="49" name="Text Box 28">
          <a:extLst>
            <a:ext uri="{FF2B5EF4-FFF2-40B4-BE49-F238E27FC236}">
              <a16:creationId xmlns:a16="http://schemas.microsoft.com/office/drawing/2014/main" id="{0729D205-956A-48BC-907C-F1F7D6C80E5D}"/>
            </a:ext>
          </a:extLst>
        </xdr:cNvPr>
        <xdr:cNvSpPr txBox="1">
          <a:spLocks noChangeArrowheads="1"/>
        </xdr:cNvSpPr>
      </xdr:nvSpPr>
      <xdr:spPr bwMode="auto">
        <a:xfrm>
          <a:off x="10363200" y="19385280"/>
          <a:ext cx="76200" cy="28086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101</xdr:row>
      <xdr:rowOff>0</xdr:rowOff>
    </xdr:from>
    <xdr:ext cx="76200" cy="242765"/>
    <xdr:sp macro="" textlink="">
      <xdr:nvSpPr>
        <xdr:cNvPr id="50" name="Text Box 25">
          <a:extLst>
            <a:ext uri="{FF2B5EF4-FFF2-40B4-BE49-F238E27FC236}">
              <a16:creationId xmlns:a16="http://schemas.microsoft.com/office/drawing/2014/main" id="{608A3040-D5C3-4BCC-985C-6AF87BFDCB46}"/>
            </a:ext>
          </a:extLst>
        </xdr:cNvPr>
        <xdr:cNvSpPr txBox="1">
          <a:spLocks noChangeArrowheads="1"/>
        </xdr:cNvSpPr>
      </xdr:nvSpPr>
      <xdr:spPr bwMode="auto">
        <a:xfrm>
          <a:off x="9753600" y="18105120"/>
          <a:ext cx="76200" cy="2427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101</xdr:row>
      <xdr:rowOff>0</xdr:rowOff>
    </xdr:from>
    <xdr:ext cx="76200" cy="242765"/>
    <xdr:sp macro="" textlink="">
      <xdr:nvSpPr>
        <xdr:cNvPr id="51" name="Text Box 26">
          <a:extLst>
            <a:ext uri="{FF2B5EF4-FFF2-40B4-BE49-F238E27FC236}">
              <a16:creationId xmlns:a16="http://schemas.microsoft.com/office/drawing/2014/main" id="{F3943ECF-8FD4-4638-ACEA-A4727AEEC7BE}"/>
            </a:ext>
          </a:extLst>
        </xdr:cNvPr>
        <xdr:cNvSpPr txBox="1">
          <a:spLocks noChangeArrowheads="1"/>
        </xdr:cNvSpPr>
      </xdr:nvSpPr>
      <xdr:spPr bwMode="auto">
        <a:xfrm>
          <a:off x="9753600" y="18105120"/>
          <a:ext cx="76200" cy="2427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101</xdr:row>
      <xdr:rowOff>0</xdr:rowOff>
    </xdr:from>
    <xdr:ext cx="76200" cy="242765"/>
    <xdr:sp macro="" textlink="">
      <xdr:nvSpPr>
        <xdr:cNvPr id="52" name="Text Box 27">
          <a:extLst>
            <a:ext uri="{FF2B5EF4-FFF2-40B4-BE49-F238E27FC236}">
              <a16:creationId xmlns:a16="http://schemas.microsoft.com/office/drawing/2014/main" id="{33EEF907-76CC-434F-936C-DC168B5490F4}"/>
            </a:ext>
          </a:extLst>
        </xdr:cNvPr>
        <xdr:cNvSpPr txBox="1">
          <a:spLocks noChangeArrowheads="1"/>
        </xdr:cNvSpPr>
      </xdr:nvSpPr>
      <xdr:spPr bwMode="auto">
        <a:xfrm>
          <a:off x="9753600" y="18105120"/>
          <a:ext cx="76200" cy="2427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101</xdr:row>
      <xdr:rowOff>0</xdr:rowOff>
    </xdr:from>
    <xdr:ext cx="76200" cy="242765"/>
    <xdr:sp macro="" textlink="">
      <xdr:nvSpPr>
        <xdr:cNvPr id="53" name="Text Box 28">
          <a:extLst>
            <a:ext uri="{FF2B5EF4-FFF2-40B4-BE49-F238E27FC236}">
              <a16:creationId xmlns:a16="http://schemas.microsoft.com/office/drawing/2014/main" id="{A1320306-A7F7-408B-B729-C383FC5D776E}"/>
            </a:ext>
          </a:extLst>
        </xdr:cNvPr>
        <xdr:cNvSpPr txBox="1">
          <a:spLocks noChangeArrowheads="1"/>
        </xdr:cNvSpPr>
      </xdr:nvSpPr>
      <xdr:spPr bwMode="auto">
        <a:xfrm>
          <a:off x="9753600" y="18105120"/>
          <a:ext cx="76200" cy="2427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112</xdr:row>
      <xdr:rowOff>0</xdr:rowOff>
    </xdr:from>
    <xdr:ext cx="76200" cy="262022"/>
    <xdr:sp macro="" textlink="">
      <xdr:nvSpPr>
        <xdr:cNvPr id="54" name="Text Box 25">
          <a:extLst>
            <a:ext uri="{FF2B5EF4-FFF2-40B4-BE49-F238E27FC236}">
              <a16:creationId xmlns:a16="http://schemas.microsoft.com/office/drawing/2014/main" id="{E5FDE432-8469-4006-B949-F8FF4B46B5FC}"/>
            </a:ext>
          </a:extLst>
        </xdr:cNvPr>
        <xdr:cNvSpPr txBox="1">
          <a:spLocks noChangeArrowheads="1"/>
        </xdr:cNvSpPr>
      </xdr:nvSpPr>
      <xdr:spPr bwMode="auto">
        <a:xfrm>
          <a:off x="10363200" y="20116800"/>
          <a:ext cx="76200" cy="2620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112</xdr:row>
      <xdr:rowOff>0</xdr:rowOff>
    </xdr:from>
    <xdr:ext cx="76200" cy="257174"/>
    <xdr:sp macro="" textlink="">
      <xdr:nvSpPr>
        <xdr:cNvPr id="55" name="Text Box 26">
          <a:extLst>
            <a:ext uri="{FF2B5EF4-FFF2-40B4-BE49-F238E27FC236}">
              <a16:creationId xmlns:a16="http://schemas.microsoft.com/office/drawing/2014/main" id="{48E2D98D-2B99-4C9D-9BD7-F1C52774811C}"/>
            </a:ext>
          </a:extLst>
        </xdr:cNvPr>
        <xdr:cNvSpPr txBox="1">
          <a:spLocks noChangeArrowheads="1"/>
        </xdr:cNvSpPr>
      </xdr:nvSpPr>
      <xdr:spPr bwMode="auto">
        <a:xfrm>
          <a:off x="10363200" y="20116800"/>
          <a:ext cx="76200" cy="2571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112</xdr:row>
      <xdr:rowOff>0</xdr:rowOff>
    </xdr:from>
    <xdr:ext cx="76200" cy="262026"/>
    <xdr:sp macro="" textlink="">
      <xdr:nvSpPr>
        <xdr:cNvPr id="56" name="Text Box 27">
          <a:extLst>
            <a:ext uri="{FF2B5EF4-FFF2-40B4-BE49-F238E27FC236}">
              <a16:creationId xmlns:a16="http://schemas.microsoft.com/office/drawing/2014/main" id="{C243D1A1-65DA-4804-BA40-A062BC6747A0}"/>
            </a:ext>
          </a:extLst>
        </xdr:cNvPr>
        <xdr:cNvSpPr txBox="1">
          <a:spLocks noChangeArrowheads="1"/>
        </xdr:cNvSpPr>
      </xdr:nvSpPr>
      <xdr:spPr bwMode="auto">
        <a:xfrm>
          <a:off x="10363200" y="20116800"/>
          <a:ext cx="76200" cy="262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112</xdr:row>
      <xdr:rowOff>0</xdr:rowOff>
    </xdr:from>
    <xdr:ext cx="76200" cy="262026"/>
    <xdr:sp macro="" textlink="">
      <xdr:nvSpPr>
        <xdr:cNvPr id="57" name="Text Box 28">
          <a:extLst>
            <a:ext uri="{FF2B5EF4-FFF2-40B4-BE49-F238E27FC236}">
              <a16:creationId xmlns:a16="http://schemas.microsoft.com/office/drawing/2014/main" id="{3C1FC172-A8FC-4D6B-B391-2CEB8C67BC21}"/>
            </a:ext>
          </a:extLst>
        </xdr:cNvPr>
        <xdr:cNvSpPr txBox="1">
          <a:spLocks noChangeArrowheads="1"/>
        </xdr:cNvSpPr>
      </xdr:nvSpPr>
      <xdr:spPr bwMode="auto">
        <a:xfrm>
          <a:off x="10363200" y="20116800"/>
          <a:ext cx="76200" cy="262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262023"/>
    <xdr:sp macro="" textlink="">
      <xdr:nvSpPr>
        <xdr:cNvPr id="58" name="Text Box 25">
          <a:extLst>
            <a:ext uri="{FF2B5EF4-FFF2-40B4-BE49-F238E27FC236}">
              <a16:creationId xmlns:a16="http://schemas.microsoft.com/office/drawing/2014/main" id="{A7F9900D-4414-4D04-B5E5-BD6EE0DA95C6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26202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262023"/>
    <xdr:sp macro="" textlink="">
      <xdr:nvSpPr>
        <xdr:cNvPr id="59" name="Text Box 26">
          <a:extLst>
            <a:ext uri="{FF2B5EF4-FFF2-40B4-BE49-F238E27FC236}">
              <a16:creationId xmlns:a16="http://schemas.microsoft.com/office/drawing/2014/main" id="{09AC44AA-54A0-43A4-B0B3-B5C9CB2EA6C7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26202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262023"/>
    <xdr:sp macro="" textlink="">
      <xdr:nvSpPr>
        <xdr:cNvPr id="60" name="Text Box 27">
          <a:extLst>
            <a:ext uri="{FF2B5EF4-FFF2-40B4-BE49-F238E27FC236}">
              <a16:creationId xmlns:a16="http://schemas.microsoft.com/office/drawing/2014/main" id="{948AD2E7-69B4-4EDC-9A13-18A4FC4D4D33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26202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262027"/>
    <xdr:sp macro="" textlink="">
      <xdr:nvSpPr>
        <xdr:cNvPr id="61" name="Text Box 28">
          <a:extLst>
            <a:ext uri="{FF2B5EF4-FFF2-40B4-BE49-F238E27FC236}">
              <a16:creationId xmlns:a16="http://schemas.microsoft.com/office/drawing/2014/main" id="{56FC38FC-7FE2-4868-8A8D-302C43093821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26202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112</xdr:row>
      <xdr:rowOff>0</xdr:rowOff>
    </xdr:from>
    <xdr:ext cx="76200" cy="281670"/>
    <xdr:sp macro="" textlink="">
      <xdr:nvSpPr>
        <xdr:cNvPr id="62" name="Text Box 25">
          <a:extLst>
            <a:ext uri="{FF2B5EF4-FFF2-40B4-BE49-F238E27FC236}">
              <a16:creationId xmlns:a16="http://schemas.microsoft.com/office/drawing/2014/main" id="{A6067D70-EDCD-4C04-84D8-ED9C27DE7E3C}"/>
            </a:ext>
          </a:extLst>
        </xdr:cNvPr>
        <xdr:cNvSpPr txBox="1">
          <a:spLocks noChangeArrowheads="1"/>
        </xdr:cNvSpPr>
      </xdr:nvSpPr>
      <xdr:spPr bwMode="auto">
        <a:xfrm>
          <a:off x="10363200" y="20116800"/>
          <a:ext cx="76200" cy="28167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112</xdr:row>
      <xdr:rowOff>0</xdr:rowOff>
    </xdr:from>
    <xdr:ext cx="76200" cy="257173"/>
    <xdr:sp macro="" textlink="">
      <xdr:nvSpPr>
        <xdr:cNvPr id="63" name="Text Box 26">
          <a:extLst>
            <a:ext uri="{FF2B5EF4-FFF2-40B4-BE49-F238E27FC236}">
              <a16:creationId xmlns:a16="http://schemas.microsoft.com/office/drawing/2014/main" id="{A23AE23F-FA95-4C70-ABE4-A28F6B34A552}"/>
            </a:ext>
          </a:extLst>
        </xdr:cNvPr>
        <xdr:cNvSpPr txBox="1">
          <a:spLocks noChangeArrowheads="1"/>
        </xdr:cNvSpPr>
      </xdr:nvSpPr>
      <xdr:spPr bwMode="auto">
        <a:xfrm>
          <a:off x="10363200" y="20116800"/>
          <a:ext cx="76200" cy="25717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112</xdr:row>
      <xdr:rowOff>0</xdr:rowOff>
    </xdr:from>
    <xdr:ext cx="76200" cy="242171"/>
    <xdr:sp macro="" textlink="">
      <xdr:nvSpPr>
        <xdr:cNvPr id="64" name="Text Box 27">
          <a:extLst>
            <a:ext uri="{FF2B5EF4-FFF2-40B4-BE49-F238E27FC236}">
              <a16:creationId xmlns:a16="http://schemas.microsoft.com/office/drawing/2014/main" id="{3BF6CA56-CCD7-4008-B18C-1901678404FD}"/>
            </a:ext>
          </a:extLst>
        </xdr:cNvPr>
        <xdr:cNvSpPr txBox="1">
          <a:spLocks noChangeArrowheads="1"/>
        </xdr:cNvSpPr>
      </xdr:nvSpPr>
      <xdr:spPr bwMode="auto">
        <a:xfrm>
          <a:off x="10363200" y="20116800"/>
          <a:ext cx="76200" cy="2421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112</xdr:row>
      <xdr:rowOff>0</xdr:rowOff>
    </xdr:from>
    <xdr:ext cx="76200" cy="281670"/>
    <xdr:sp macro="" textlink="">
      <xdr:nvSpPr>
        <xdr:cNvPr id="65" name="Text Box 28">
          <a:extLst>
            <a:ext uri="{FF2B5EF4-FFF2-40B4-BE49-F238E27FC236}">
              <a16:creationId xmlns:a16="http://schemas.microsoft.com/office/drawing/2014/main" id="{E97D0FFB-3856-448B-A909-0BA581B7E617}"/>
            </a:ext>
          </a:extLst>
        </xdr:cNvPr>
        <xdr:cNvSpPr txBox="1">
          <a:spLocks noChangeArrowheads="1"/>
        </xdr:cNvSpPr>
      </xdr:nvSpPr>
      <xdr:spPr bwMode="auto">
        <a:xfrm>
          <a:off x="10363200" y="20116800"/>
          <a:ext cx="76200" cy="28167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112</xdr:row>
      <xdr:rowOff>0</xdr:rowOff>
    </xdr:from>
    <xdr:ext cx="76200" cy="257176"/>
    <xdr:sp macro="" textlink="">
      <xdr:nvSpPr>
        <xdr:cNvPr id="66" name="Text Box 25">
          <a:extLst>
            <a:ext uri="{FF2B5EF4-FFF2-40B4-BE49-F238E27FC236}">
              <a16:creationId xmlns:a16="http://schemas.microsoft.com/office/drawing/2014/main" id="{81A1A263-0870-429B-804E-4A1466039379}"/>
            </a:ext>
          </a:extLst>
        </xdr:cNvPr>
        <xdr:cNvSpPr txBox="1">
          <a:spLocks noChangeArrowheads="1"/>
        </xdr:cNvSpPr>
      </xdr:nvSpPr>
      <xdr:spPr bwMode="auto">
        <a:xfrm>
          <a:off x="10363200" y="20116800"/>
          <a:ext cx="76200" cy="257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112</xdr:row>
      <xdr:rowOff>0</xdr:rowOff>
    </xdr:from>
    <xdr:ext cx="76200" cy="257180"/>
    <xdr:sp macro="" textlink="">
      <xdr:nvSpPr>
        <xdr:cNvPr id="67" name="Text Box 26">
          <a:extLst>
            <a:ext uri="{FF2B5EF4-FFF2-40B4-BE49-F238E27FC236}">
              <a16:creationId xmlns:a16="http://schemas.microsoft.com/office/drawing/2014/main" id="{0FADF644-0E1B-4EDB-BC91-660462A69451}"/>
            </a:ext>
          </a:extLst>
        </xdr:cNvPr>
        <xdr:cNvSpPr txBox="1">
          <a:spLocks noChangeArrowheads="1"/>
        </xdr:cNvSpPr>
      </xdr:nvSpPr>
      <xdr:spPr bwMode="auto">
        <a:xfrm>
          <a:off x="10363200" y="20116800"/>
          <a:ext cx="76200" cy="2571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112</xdr:row>
      <xdr:rowOff>0</xdr:rowOff>
    </xdr:from>
    <xdr:ext cx="76200" cy="257176"/>
    <xdr:sp macro="" textlink="">
      <xdr:nvSpPr>
        <xdr:cNvPr id="68" name="Text Box 27">
          <a:extLst>
            <a:ext uri="{FF2B5EF4-FFF2-40B4-BE49-F238E27FC236}">
              <a16:creationId xmlns:a16="http://schemas.microsoft.com/office/drawing/2014/main" id="{7EF362C4-6DA8-45BA-84DB-64E402AB0203}"/>
            </a:ext>
          </a:extLst>
        </xdr:cNvPr>
        <xdr:cNvSpPr txBox="1">
          <a:spLocks noChangeArrowheads="1"/>
        </xdr:cNvSpPr>
      </xdr:nvSpPr>
      <xdr:spPr bwMode="auto">
        <a:xfrm>
          <a:off x="10363200" y="20116800"/>
          <a:ext cx="76200" cy="257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112</xdr:row>
      <xdr:rowOff>0</xdr:rowOff>
    </xdr:from>
    <xdr:ext cx="76200" cy="257174"/>
    <xdr:sp macro="" textlink="">
      <xdr:nvSpPr>
        <xdr:cNvPr id="69" name="Text Box 28">
          <a:extLst>
            <a:ext uri="{FF2B5EF4-FFF2-40B4-BE49-F238E27FC236}">
              <a16:creationId xmlns:a16="http://schemas.microsoft.com/office/drawing/2014/main" id="{9CF42E96-44D1-4559-A189-607D7C7116DB}"/>
            </a:ext>
          </a:extLst>
        </xdr:cNvPr>
        <xdr:cNvSpPr txBox="1">
          <a:spLocks noChangeArrowheads="1"/>
        </xdr:cNvSpPr>
      </xdr:nvSpPr>
      <xdr:spPr bwMode="auto">
        <a:xfrm>
          <a:off x="10363200" y="20116800"/>
          <a:ext cx="76200" cy="2571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276853"/>
    <xdr:sp macro="" textlink="">
      <xdr:nvSpPr>
        <xdr:cNvPr id="70" name="Text Box 25">
          <a:extLst>
            <a:ext uri="{FF2B5EF4-FFF2-40B4-BE49-F238E27FC236}">
              <a16:creationId xmlns:a16="http://schemas.microsoft.com/office/drawing/2014/main" id="{1810E8E8-3EAE-4DC8-831F-F8D2844C25EB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2768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276853"/>
    <xdr:sp macro="" textlink="">
      <xdr:nvSpPr>
        <xdr:cNvPr id="71" name="Text Box 26">
          <a:extLst>
            <a:ext uri="{FF2B5EF4-FFF2-40B4-BE49-F238E27FC236}">
              <a16:creationId xmlns:a16="http://schemas.microsoft.com/office/drawing/2014/main" id="{E94431EF-754D-4A8D-A272-CAEE7025BBE5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2768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262024"/>
    <xdr:sp macro="" textlink="">
      <xdr:nvSpPr>
        <xdr:cNvPr id="72" name="Text Box 27">
          <a:extLst>
            <a:ext uri="{FF2B5EF4-FFF2-40B4-BE49-F238E27FC236}">
              <a16:creationId xmlns:a16="http://schemas.microsoft.com/office/drawing/2014/main" id="{7F0466DB-8DD1-4890-9556-77E8F56848F8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262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262024"/>
    <xdr:sp macro="" textlink="">
      <xdr:nvSpPr>
        <xdr:cNvPr id="73" name="Text Box 28">
          <a:extLst>
            <a:ext uri="{FF2B5EF4-FFF2-40B4-BE49-F238E27FC236}">
              <a16:creationId xmlns:a16="http://schemas.microsoft.com/office/drawing/2014/main" id="{7D031204-FED9-4977-9695-0A4BABC97B6C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262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298309"/>
    <xdr:sp macro="" textlink="">
      <xdr:nvSpPr>
        <xdr:cNvPr id="74" name="Text Box 25">
          <a:extLst>
            <a:ext uri="{FF2B5EF4-FFF2-40B4-BE49-F238E27FC236}">
              <a16:creationId xmlns:a16="http://schemas.microsoft.com/office/drawing/2014/main" id="{FE2F77E2-BCE2-4817-A54C-099333A1AF05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2983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298309"/>
    <xdr:sp macro="" textlink="">
      <xdr:nvSpPr>
        <xdr:cNvPr id="75" name="Text Box 26">
          <a:extLst>
            <a:ext uri="{FF2B5EF4-FFF2-40B4-BE49-F238E27FC236}">
              <a16:creationId xmlns:a16="http://schemas.microsoft.com/office/drawing/2014/main" id="{7F9D941B-DA1E-42AB-A5BC-1281F91FCC7D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2983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298309"/>
    <xdr:sp macro="" textlink="">
      <xdr:nvSpPr>
        <xdr:cNvPr id="76" name="Text Box 27">
          <a:extLst>
            <a:ext uri="{FF2B5EF4-FFF2-40B4-BE49-F238E27FC236}">
              <a16:creationId xmlns:a16="http://schemas.microsoft.com/office/drawing/2014/main" id="{A1AC9F95-19B7-465E-B442-047AFBBEA9AF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2983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298309"/>
    <xdr:sp macro="" textlink="">
      <xdr:nvSpPr>
        <xdr:cNvPr id="77" name="Text Box 28">
          <a:extLst>
            <a:ext uri="{FF2B5EF4-FFF2-40B4-BE49-F238E27FC236}">
              <a16:creationId xmlns:a16="http://schemas.microsoft.com/office/drawing/2014/main" id="{94AD3AB6-F679-411A-AB85-C63F8B782C79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2983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275449"/>
    <xdr:sp macro="" textlink="">
      <xdr:nvSpPr>
        <xdr:cNvPr id="78" name="Text Box 25">
          <a:extLst>
            <a:ext uri="{FF2B5EF4-FFF2-40B4-BE49-F238E27FC236}">
              <a16:creationId xmlns:a16="http://schemas.microsoft.com/office/drawing/2014/main" id="{EA4692F3-B6F0-4D26-88BA-CFF6349AE194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275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275449"/>
    <xdr:sp macro="" textlink="">
      <xdr:nvSpPr>
        <xdr:cNvPr id="79" name="Text Box 26">
          <a:extLst>
            <a:ext uri="{FF2B5EF4-FFF2-40B4-BE49-F238E27FC236}">
              <a16:creationId xmlns:a16="http://schemas.microsoft.com/office/drawing/2014/main" id="{3D6BC0C1-DF1A-4A93-80F8-45D1C486B489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275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275449"/>
    <xdr:sp macro="" textlink="">
      <xdr:nvSpPr>
        <xdr:cNvPr id="80" name="Text Box 27">
          <a:extLst>
            <a:ext uri="{FF2B5EF4-FFF2-40B4-BE49-F238E27FC236}">
              <a16:creationId xmlns:a16="http://schemas.microsoft.com/office/drawing/2014/main" id="{81481E66-CA8F-44DD-964A-35363B177316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275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275449"/>
    <xdr:sp macro="" textlink="">
      <xdr:nvSpPr>
        <xdr:cNvPr id="81" name="Text Box 28">
          <a:extLst>
            <a:ext uri="{FF2B5EF4-FFF2-40B4-BE49-F238E27FC236}">
              <a16:creationId xmlns:a16="http://schemas.microsoft.com/office/drawing/2014/main" id="{57365C0F-6160-4C39-896F-F7D11194CDF4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275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85</xdr:row>
      <xdr:rowOff>0</xdr:rowOff>
    </xdr:from>
    <xdr:ext cx="76200" cy="280863"/>
    <xdr:sp macro="" textlink="">
      <xdr:nvSpPr>
        <xdr:cNvPr id="82" name="Text Box 25">
          <a:extLst>
            <a:ext uri="{FF2B5EF4-FFF2-40B4-BE49-F238E27FC236}">
              <a16:creationId xmlns:a16="http://schemas.microsoft.com/office/drawing/2014/main" id="{7C1A040B-A850-4995-862B-D83197E4023A}"/>
            </a:ext>
          </a:extLst>
        </xdr:cNvPr>
        <xdr:cNvSpPr txBox="1">
          <a:spLocks noChangeArrowheads="1"/>
        </xdr:cNvSpPr>
      </xdr:nvSpPr>
      <xdr:spPr bwMode="auto">
        <a:xfrm>
          <a:off x="10363200" y="15179040"/>
          <a:ext cx="76200" cy="2808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85</xdr:row>
      <xdr:rowOff>0</xdr:rowOff>
    </xdr:from>
    <xdr:ext cx="76200" cy="280863"/>
    <xdr:sp macro="" textlink="">
      <xdr:nvSpPr>
        <xdr:cNvPr id="83" name="Text Box 26">
          <a:extLst>
            <a:ext uri="{FF2B5EF4-FFF2-40B4-BE49-F238E27FC236}">
              <a16:creationId xmlns:a16="http://schemas.microsoft.com/office/drawing/2014/main" id="{9FEBA76F-AE2E-440D-AB08-5454D36950AD}"/>
            </a:ext>
          </a:extLst>
        </xdr:cNvPr>
        <xdr:cNvSpPr txBox="1">
          <a:spLocks noChangeArrowheads="1"/>
        </xdr:cNvSpPr>
      </xdr:nvSpPr>
      <xdr:spPr bwMode="auto">
        <a:xfrm>
          <a:off x="10363200" y="15179040"/>
          <a:ext cx="76200" cy="2808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85</xdr:row>
      <xdr:rowOff>0</xdr:rowOff>
    </xdr:from>
    <xdr:ext cx="76200" cy="280863"/>
    <xdr:sp macro="" textlink="">
      <xdr:nvSpPr>
        <xdr:cNvPr id="84" name="Text Box 27">
          <a:extLst>
            <a:ext uri="{FF2B5EF4-FFF2-40B4-BE49-F238E27FC236}">
              <a16:creationId xmlns:a16="http://schemas.microsoft.com/office/drawing/2014/main" id="{A0E78B27-734D-449D-B428-6C4C601630C9}"/>
            </a:ext>
          </a:extLst>
        </xdr:cNvPr>
        <xdr:cNvSpPr txBox="1">
          <a:spLocks noChangeArrowheads="1"/>
        </xdr:cNvSpPr>
      </xdr:nvSpPr>
      <xdr:spPr bwMode="auto">
        <a:xfrm>
          <a:off x="10363200" y="15179040"/>
          <a:ext cx="76200" cy="2808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85</xdr:row>
      <xdr:rowOff>0</xdr:rowOff>
    </xdr:from>
    <xdr:ext cx="76200" cy="280863"/>
    <xdr:sp macro="" textlink="">
      <xdr:nvSpPr>
        <xdr:cNvPr id="85" name="Text Box 28">
          <a:extLst>
            <a:ext uri="{FF2B5EF4-FFF2-40B4-BE49-F238E27FC236}">
              <a16:creationId xmlns:a16="http://schemas.microsoft.com/office/drawing/2014/main" id="{0148D996-B88D-4803-9472-CEF28753044F}"/>
            </a:ext>
          </a:extLst>
        </xdr:cNvPr>
        <xdr:cNvSpPr txBox="1">
          <a:spLocks noChangeArrowheads="1"/>
        </xdr:cNvSpPr>
      </xdr:nvSpPr>
      <xdr:spPr bwMode="auto">
        <a:xfrm>
          <a:off x="10363200" y="15179040"/>
          <a:ext cx="76200" cy="2808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85</xdr:row>
      <xdr:rowOff>0</xdr:rowOff>
    </xdr:from>
    <xdr:ext cx="76200" cy="280864"/>
    <xdr:sp macro="" textlink="">
      <xdr:nvSpPr>
        <xdr:cNvPr id="86" name="Text Box 25">
          <a:extLst>
            <a:ext uri="{FF2B5EF4-FFF2-40B4-BE49-F238E27FC236}">
              <a16:creationId xmlns:a16="http://schemas.microsoft.com/office/drawing/2014/main" id="{229A877E-BF28-46C7-9A06-C8A6E2389D81}"/>
            </a:ext>
          </a:extLst>
        </xdr:cNvPr>
        <xdr:cNvSpPr txBox="1">
          <a:spLocks noChangeArrowheads="1"/>
        </xdr:cNvSpPr>
      </xdr:nvSpPr>
      <xdr:spPr bwMode="auto">
        <a:xfrm>
          <a:off x="9753600" y="15179040"/>
          <a:ext cx="76200" cy="280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85</xdr:row>
      <xdr:rowOff>0</xdr:rowOff>
    </xdr:from>
    <xdr:ext cx="76200" cy="280864"/>
    <xdr:sp macro="" textlink="">
      <xdr:nvSpPr>
        <xdr:cNvPr id="87" name="Text Box 26">
          <a:extLst>
            <a:ext uri="{FF2B5EF4-FFF2-40B4-BE49-F238E27FC236}">
              <a16:creationId xmlns:a16="http://schemas.microsoft.com/office/drawing/2014/main" id="{ED727508-FD21-4631-8E86-3CD99BA2D117}"/>
            </a:ext>
          </a:extLst>
        </xdr:cNvPr>
        <xdr:cNvSpPr txBox="1">
          <a:spLocks noChangeArrowheads="1"/>
        </xdr:cNvSpPr>
      </xdr:nvSpPr>
      <xdr:spPr bwMode="auto">
        <a:xfrm>
          <a:off x="9753600" y="15179040"/>
          <a:ext cx="76200" cy="280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85</xdr:row>
      <xdr:rowOff>0</xdr:rowOff>
    </xdr:from>
    <xdr:ext cx="76200" cy="280864"/>
    <xdr:sp macro="" textlink="">
      <xdr:nvSpPr>
        <xdr:cNvPr id="88" name="Text Box 27">
          <a:extLst>
            <a:ext uri="{FF2B5EF4-FFF2-40B4-BE49-F238E27FC236}">
              <a16:creationId xmlns:a16="http://schemas.microsoft.com/office/drawing/2014/main" id="{756A0432-B643-4192-85C8-85E8C13731C2}"/>
            </a:ext>
          </a:extLst>
        </xdr:cNvPr>
        <xdr:cNvSpPr txBox="1">
          <a:spLocks noChangeArrowheads="1"/>
        </xdr:cNvSpPr>
      </xdr:nvSpPr>
      <xdr:spPr bwMode="auto">
        <a:xfrm>
          <a:off x="9753600" y="15179040"/>
          <a:ext cx="76200" cy="280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85</xdr:row>
      <xdr:rowOff>0</xdr:rowOff>
    </xdr:from>
    <xdr:ext cx="76200" cy="280864"/>
    <xdr:sp macro="" textlink="">
      <xdr:nvSpPr>
        <xdr:cNvPr id="89" name="Text Box 28">
          <a:extLst>
            <a:ext uri="{FF2B5EF4-FFF2-40B4-BE49-F238E27FC236}">
              <a16:creationId xmlns:a16="http://schemas.microsoft.com/office/drawing/2014/main" id="{54FD9F1F-DF36-40AA-9A3B-0CEF3AA11257}"/>
            </a:ext>
          </a:extLst>
        </xdr:cNvPr>
        <xdr:cNvSpPr txBox="1">
          <a:spLocks noChangeArrowheads="1"/>
        </xdr:cNvSpPr>
      </xdr:nvSpPr>
      <xdr:spPr bwMode="auto">
        <a:xfrm>
          <a:off x="9753600" y="15179040"/>
          <a:ext cx="76200" cy="280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102</xdr:row>
      <xdr:rowOff>0</xdr:rowOff>
    </xdr:from>
    <xdr:ext cx="76200" cy="278553"/>
    <xdr:sp macro="" textlink="">
      <xdr:nvSpPr>
        <xdr:cNvPr id="90" name="Text Box 25">
          <a:extLst>
            <a:ext uri="{FF2B5EF4-FFF2-40B4-BE49-F238E27FC236}">
              <a16:creationId xmlns:a16="http://schemas.microsoft.com/office/drawing/2014/main" id="{1F91FB4D-092E-4827-AB1C-916A7E20C46B}"/>
            </a:ext>
          </a:extLst>
        </xdr:cNvPr>
        <xdr:cNvSpPr txBox="1">
          <a:spLocks noChangeArrowheads="1"/>
        </xdr:cNvSpPr>
      </xdr:nvSpPr>
      <xdr:spPr bwMode="auto">
        <a:xfrm>
          <a:off x="9753600" y="18288000"/>
          <a:ext cx="76200" cy="2785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102</xdr:row>
      <xdr:rowOff>0</xdr:rowOff>
    </xdr:from>
    <xdr:ext cx="76200" cy="278553"/>
    <xdr:sp macro="" textlink="">
      <xdr:nvSpPr>
        <xdr:cNvPr id="91" name="Text Box 26">
          <a:extLst>
            <a:ext uri="{FF2B5EF4-FFF2-40B4-BE49-F238E27FC236}">
              <a16:creationId xmlns:a16="http://schemas.microsoft.com/office/drawing/2014/main" id="{AF8D7C26-F1FF-46FF-98D8-1E57974A9CFC}"/>
            </a:ext>
          </a:extLst>
        </xdr:cNvPr>
        <xdr:cNvSpPr txBox="1">
          <a:spLocks noChangeArrowheads="1"/>
        </xdr:cNvSpPr>
      </xdr:nvSpPr>
      <xdr:spPr bwMode="auto">
        <a:xfrm>
          <a:off x="9753600" y="18288000"/>
          <a:ext cx="76200" cy="2785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102</xdr:row>
      <xdr:rowOff>0</xdr:rowOff>
    </xdr:from>
    <xdr:ext cx="76200" cy="278553"/>
    <xdr:sp macro="" textlink="">
      <xdr:nvSpPr>
        <xdr:cNvPr id="92" name="Text Box 27">
          <a:extLst>
            <a:ext uri="{FF2B5EF4-FFF2-40B4-BE49-F238E27FC236}">
              <a16:creationId xmlns:a16="http://schemas.microsoft.com/office/drawing/2014/main" id="{88E3F96D-F7A4-4414-96D9-82A0ABEBBA82}"/>
            </a:ext>
          </a:extLst>
        </xdr:cNvPr>
        <xdr:cNvSpPr txBox="1">
          <a:spLocks noChangeArrowheads="1"/>
        </xdr:cNvSpPr>
      </xdr:nvSpPr>
      <xdr:spPr bwMode="auto">
        <a:xfrm>
          <a:off x="9753600" y="18288000"/>
          <a:ext cx="76200" cy="2785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102</xdr:row>
      <xdr:rowOff>0</xdr:rowOff>
    </xdr:from>
    <xdr:ext cx="76200" cy="278553"/>
    <xdr:sp macro="" textlink="">
      <xdr:nvSpPr>
        <xdr:cNvPr id="93" name="Text Box 28">
          <a:extLst>
            <a:ext uri="{FF2B5EF4-FFF2-40B4-BE49-F238E27FC236}">
              <a16:creationId xmlns:a16="http://schemas.microsoft.com/office/drawing/2014/main" id="{31A46A89-1CAF-4BAF-BD9F-C266A8B364A9}"/>
            </a:ext>
          </a:extLst>
        </xdr:cNvPr>
        <xdr:cNvSpPr txBox="1">
          <a:spLocks noChangeArrowheads="1"/>
        </xdr:cNvSpPr>
      </xdr:nvSpPr>
      <xdr:spPr bwMode="auto">
        <a:xfrm>
          <a:off x="9753600" y="18288000"/>
          <a:ext cx="76200" cy="2785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102</xdr:row>
      <xdr:rowOff>0</xdr:rowOff>
    </xdr:from>
    <xdr:ext cx="76200" cy="278552"/>
    <xdr:sp macro="" textlink="">
      <xdr:nvSpPr>
        <xdr:cNvPr id="94" name="Text Box 25">
          <a:extLst>
            <a:ext uri="{FF2B5EF4-FFF2-40B4-BE49-F238E27FC236}">
              <a16:creationId xmlns:a16="http://schemas.microsoft.com/office/drawing/2014/main" id="{43959D79-F670-4338-BF53-82E544D94CF2}"/>
            </a:ext>
          </a:extLst>
        </xdr:cNvPr>
        <xdr:cNvSpPr txBox="1">
          <a:spLocks noChangeArrowheads="1"/>
        </xdr:cNvSpPr>
      </xdr:nvSpPr>
      <xdr:spPr bwMode="auto">
        <a:xfrm>
          <a:off x="10363200" y="18288000"/>
          <a:ext cx="76200" cy="2785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102</xdr:row>
      <xdr:rowOff>0</xdr:rowOff>
    </xdr:from>
    <xdr:ext cx="76200" cy="278552"/>
    <xdr:sp macro="" textlink="">
      <xdr:nvSpPr>
        <xdr:cNvPr id="95" name="Text Box 26">
          <a:extLst>
            <a:ext uri="{FF2B5EF4-FFF2-40B4-BE49-F238E27FC236}">
              <a16:creationId xmlns:a16="http://schemas.microsoft.com/office/drawing/2014/main" id="{A8F2FA24-5E36-4F3E-ADF6-4AA643EC8EEB}"/>
            </a:ext>
          </a:extLst>
        </xdr:cNvPr>
        <xdr:cNvSpPr txBox="1">
          <a:spLocks noChangeArrowheads="1"/>
        </xdr:cNvSpPr>
      </xdr:nvSpPr>
      <xdr:spPr bwMode="auto">
        <a:xfrm>
          <a:off x="10363200" y="18288000"/>
          <a:ext cx="76200" cy="2785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102</xdr:row>
      <xdr:rowOff>0</xdr:rowOff>
    </xdr:from>
    <xdr:ext cx="76200" cy="278552"/>
    <xdr:sp macro="" textlink="">
      <xdr:nvSpPr>
        <xdr:cNvPr id="96" name="Text Box 27">
          <a:extLst>
            <a:ext uri="{FF2B5EF4-FFF2-40B4-BE49-F238E27FC236}">
              <a16:creationId xmlns:a16="http://schemas.microsoft.com/office/drawing/2014/main" id="{53265C0E-1261-4197-B43A-6A5AAC7DC4CF}"/>
            </a:ext>
          </a:extLst>
        </xdr:cNvPr>
        <xdr:cNvSpPr txBox="1">
          <a:spLocks noChangeArrowheads="1"/>
        </xdr:cNvSpPr>
      </xdr:nvSpPr>
      <xdr:spPr bwMode="auto">
        <a:xfrm>
          <a:off x="10363200" y="18288000"/>
          <a:ext cx="76200" cy="2785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102</xdr:row>
      <xdr:rowOff>0</xdr:rowOff>
    </xdr:from>
    <xdr:ext cx="76200" cy="278553"/>
    <xdr:sp macro="" textlink="">
      <xdr:nvSpPr>
        <xdr:cNvPr id="97" name="Text Box 25">
          <a:extLst>
            <a:ext uri="{FF2B5EF4-FFF2-40B4-BE49-F238E27FC236}">
              <a16:creationId xmlns:a16="http://schemas.microsoft.com/office/drawing/2014/main" id="{702B15FC-0921-4BCE-8294-9F07584E6628}"/>
            </a:ext>
          </a:extLst>
        </xdr:cNvPr>
        <xdr:cNvSpPr txBox="1">
          <a:spLocks noChangeArrowheads="1"/>
        </xdr:cNvSpPr>
      </xdr:nvSpPr>
      <xdr:spPr bwMode="auto">
        <a:xfrm>
          <a:off x="9753600" y="18288000"/>
          <a:ext cx="76200" cy="2785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102</xdr:row>
      <xdr:rowOff>0</xdr:rowOff>
    </xdr:from>
    <xdr:ext cx="76200" cy="278553"/>
    <xdr:sp macro="" textlink="">
      <xdr:nvSpPr>
        <xdr:cNvPr id="98" name="Text Box 26">
          <a:extLst>
            <a:ext uri="{FF2B5EF4-FFF2-40B4-BE49-F238E27FC236}">
              <a16:creationId xmlns:a16="http://schemas.microsoft.com/office/drawing/2014/main" id="{08AF2E09-1E9E-4924-A7F7-602E3FB3C56E}"/>
            </a:ext>
          </a:extLst>
        </xdr:cNvPr>
        <xdr:cNvSpPr txBox="1">
          <a:spLocks noChangeArrowheads="1"/>
        </xdr:cNvSpPr>
      </xdr:nvSpPr>
      <xdr:spPr bwMode="auto">
        <a:xfrm>
          <a:off x="9753600" y="18288000"/>
          <a:ext cx="76200" cy="2785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102</xdr:row>
      <xdr:rowOff>0</xdr:rowOff>
    </xdr:from>
    <xdr:ext cx="76200" cy="278553"/>
    <xdr:sp macro="" textlink="">
      <xdr:nvSpPr>
        <xdr:cNvPr id="99" name="Text Box 27">
          <a:extLst>
            <a:ext uri="{FF2B5EF4-FFF2-40B4-BE49-F238E27FC236}">
              <a16:creationId xmlns:a16="http://schemas.microsoft.com/office/drawing/2014/main" id="{2DC3E644-0DC2-40A3-92BE-E7C150F7D608}"/>
            </a:ext>
          </a:extLst>
        </xdr:cNvPr>
        <xdr:cNvSpPr txBox="1">
          <a:spLocks noChangeArrowheads="1"/>
        </xdr:cNvSpPr>
      </xdr:nvSpPr>
      <xdr:spPr bwMode="auto">
        <a:xfrm>
          <a:off x="9753600" y="18288000"/>
          <a:ext cx="76200" cy="2785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102</xdr:row>
      <xdr:rowOff>0</xdr:rowOff>
    </xdr:from>
    <xdr:ext cx="76200" cy="278553"/>
    <xdr:sp macro="" textlink="">
      <xdr:nvSpPr>
        <xdr:cNvPr id="100" name="Text Box 28">
          <a:extLst>
            <a:ext uri="{FF2B5EF4-FFF2-40B4-BE49-F238E27FC236}">
              <a16:creationId xmlns:a16="http://schemas.microsoft.com/office/drawing/2014/main" id="{49A5B3DC-61CB-4451-8EF7-C2F62A467C3F}"/>
            </a:ext>
          </a:extLst>
        </xdr:cNvPr>
        <xdr:cNvSpPr txBox="1">
          <a:spLocks noChangeArrowheads="1"/>
        </xdr:cNvSpPr>
      </xdr:nvSpPr>
      <xdr:spPr bwMode="auto">
        <a:xfrm>
          <a:off x="9753600" y="18288000"/>
          <a:ext cx="76200" cy="2785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84</xdr:row>
      <xdr:rowOff>0</xdr:rowOff>
    </xdr:from>
    <xdr:ext cx="76200" cy="280862"/>
    <xdr:sp macro="" textlink="">
      <xdr:nvSpPr>
        <xdr:cNvPr id="101" name="Text Box 25">
          <a:extLst>
            <a:ext uri="{FF2B5EF4-FFF2-40B4-BE49-F238E27FC236}">
              <a16:creationId xmlns:a16="http://schemas.microsoft.com/office/drawing/2014/main" id="{07434A5B-5F58-4D27-8CD2-0FD2ADDE20C2}"/>
            </a:ext>
          </a:extLst>
        </xdr:cNvPr>
        <xdr:cNvSpPr txBox="1">
          <a:spLocks noChangeArrowheads="1"/>
        </xdr:cNvSpPr>
      </xdr:nvSpPr>
      <xdr:spPr bwMode="auto">
        <a:xfrm>
          <a:off x="10363200" y="14996160"/>
          <a:ext cx="76200" cy="2808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84</xdr:row>
      <xdr:rowOff>0</xdr:rowOff>
    </xdr:from>
    <xdr:ext cx="76200" cy="280862"/>
    <xdr:sp macro="" textlink="">
      <xdr:nvSpPr>
        <xdr:cNvPr id="102" name="Text Box 26">
          <a:extLst>
            <a:ext uri="{FF2B5EF4-FFF2-40B4-BE49-F238E27FC236}">
              <a16:creationId xmlns:a16="http://schemas.microsoft.com/office/drawing/2014/main" id="{864C586A-91ED-4A5A-A57C-22A030A977E3}"/>
            </a:ext>
          </a:extLst>
        </xdr:cNvPr>
        <xdr:cNvSpPr txBox="1">
          <a:spLocks noChangeArrowheads="1"/>
        </xdr:cNvSpPr>
      </xdr:nvSpPr>
      <xdr:spPr bwMode="auto">
        <a:xfrm>
          <a:off x="10363200" y="14996160"/>
          <a:ext cx="76200" cy="2808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84</xdr:row>
      <xdr:rowOff>0</xdr:rowOff>
    </xdr:from>
    <xdr:ext cx="76200" cy="280862"/>
    <xdr:sp macro="" textlink="">
      <xdr:nvSpPr>
        <xdr:cNvPr id="103" name="Text Box 27">
          <a:extLst>
            <a:ext uri="{FF2B5EF4-FFF2-40B4-BE49-F238E27FC236}">
              <a16:creationId xmlns:a16="http://schemas.microsoft.com/office/drawing/2014/main" id="{74D2D4B6-CE08-41C1-918F-1524E6577BD4}"/>
            </a:ext>
          </a:extLst>
        </xdr:cNvPr>
        <xdr:cNvSpPr txBox="1">
          <a:spLocks noChangeArrowheads="1"/>
        </xdr:cNvSpPr>
      </xdr:nvSpPr>
      <xdr:spPr bwMode="auto">
        <a:xfrm>
          <a:off x="10363200" y="14996160"/>
          <a:ext cx="76200" cy="2808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84</xdr:row>
      <xdr:rowOff>0</xdr:rowOff>
    </xdr:from>
    <xdr:ext cx="76200" cy="280862"/>
    <xdr:sp macro="" textlink="">
      <xdr:nvSpPr>
        <xdr:cNvPr id="104" name="Text Box 28">
          <a:extLst>
            <a:ext uri="{FF2B5EF4-FFF2-40B4-BE49-F238E27FC236}">
              <a16:creationId xmlns:a16="http://schemas.microsoft.com/office/drawing/2014/main" id="{125D6D07-4D58-4CC5-AFFD-A5D4AD27F634}"/>
            </a:ext>
          </a:extLst>
        </xdr:cNvPr>
        <xdr:cNvSpPr txBox="1">
          <a:spLocks noChangeArrowheads="1"/>
        </xdr:cNvSpPr>
      </xdr:nvSpPr>
      <xdr:spPr bwMode="auto">
        <a:xfrm>
          <a:off x="10363200" y="14996160"/>
          <a:ext cx="76200" cy="2808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84</xdr:row>
      <xdr:rowOff>0</xdr:rowOff>
    </xdr:from>
    <xdr:ext cx="76200" cy="242761"/>
    <xdr:sp macro="" textlink="">
      <xdr:nvSpPr>
        <xdr:cNvPr id="105" name="Text Box 25">
          <a:extLst>
            <a:ext uri="{FF2B5EF4-FFF2-40B4-BE49-F238E27FC236}">
              <a16:creationId xmlns:a16="http://schemas.microsoft.com/office/drawing/2014/main" id="{4184503B-4CF1-4911-BC73-56BA1B1370AD}"/>
            </a:ext>
          </a:extLst>
        </xdr:cNvPr>
        <xdr:cNvSpPr txBox="1">
          <a:spLocks noChangeArrowheads="1"/>
        </xdr:cNvSpPr>
      </xdr:nvSpPr>
      <xdr:spPr bwMode="auto">
        <a:xfrm>
          <a:off x="9753600" y="14996160"/>
          <a:ext cx="76200" cy="2427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84</xdr:row>
      <xdr:rowOff>0</xdr:rowOff>
    </xdr:from>
    <xdr:ext cx="76200" cy="242761"/>
    <xdr:sp macro="" textlink="">
      <xdr:nvSpPr>
        <xdr:cNvPr id="106" name="Text Box 26">
          <a:extLst>
            <a:ext uri="{FF2B5EF4-FFF2-40B4-BE49-F238E27FC236}">
              <a16:creationId xmlns:a16="http://schemas.microsoft.com/office/drawing/2014/main" id="{03D63C0F-D188-471D-9499-6E3EA726F628}"/>
            </a:ext>
          </a:extLst>
        </xdr:cNvPr>
        <xdr:cNvSpPr txBox="1">
          <a:spLocks noChangeArrowheads="1"/>
        </xdr:cNvSpPr>
      </xdr:nvSpPr>
      <xdr:spPr bwMode="auto">
        <a:xfrm>
          <a:off x="9753600" y="14996160"/>
          <a:ext cx="76200" cy="2427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84</xdr:row>
      <xdr:rowOff>0</xdr:rowOff>
    </xdr:from>
    <xdr:ext cx="76200" cy="242761"/>
    <xdr:sp macro="" textlink="">
      <xdr:nvSpPr>
        <xdr:cNvPr id="107" name="Text Box 27">
          <a:extLst>
            <a:ext uri="{FF2B5EF4-FFF2-40B4-BE49-F238E27FC236}">
              <a16:creationId xmlns:a16="http://schemas.microsoft.com/office/drawing/2014/main" id="{13A1CB29-BDF2-4B51-BA00-1FAC9C3CD74B}"/>
            </a:ext>
          </a:extLst>
        </xdr:cNvPr>
        <xdr:cNvSpPr txBox="1">
          <a:spLocks noChangeArrowheads="1"/>
        </xdr:cNvSpPr>
      </xdr:nvSpPr>
      <xdr:spPr bwMode="auto">
        <a:xfrm>
          <a:off x="9753600" y="14996160"/>
          <a:ext cx="76200" cy="2427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84</xdr:row>
      <xdr:rowOff>0</xdr:rowOff>
    </xdr:from>
    <xdr:ext cx="76200" cy="242761"/>
    <xdr:sp macro="" textlink="">
      <xdr:nvSpPr>
        <xdr:cNvPr id="108" name="Text Box 28">
          <a:extLst>
            <a:ext uri="{FF2B5EF4-FFF2-40B4-BE49-F238E27FC236}">
              <a16:creationId xmlns:a16="http://schemas.microsoft.com/office/drawing/2014/main" id="{675C8BD1-04FE-467C-A7ED-DB1A9C30A5F2}"/>
            </a:ext>
          </a:extLst>
        </xdr:cNvPr>
        <xdr:cNvSpPr txBox="1">
          <a:spLocks noChangeArrowheads="1"/>
        </xdr:cNvSpPr>
      </xdr:nvSpPr>
      <xdr:spPr bwMode="auto">
        <a:xfrm>
          <a:off x="9753600" y="14996160"/>
          <a:ext cx="76200" cy="2427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84</xdr:row>
      <xdr:rowOff>0</xdr:rowOff>
    </xdr:from>
    <xdr:ext cx="76200" cy="242760"/>
    <xdr:sp macro="" textlink="">
      <xdr:nvSpPr>
        <xdr:cNvPr id="109" name="Text Box 25">
          <a:extLst>
            <a:ext uri="{FF2B5EF4-FFF2-40B4-BE49-F238E27FC236}">
              <a16:creationId xmlns:a16="http://schemas.microsoft.com/office/drawing/2014/main" id="{958403CB-07E0-41DF-8FE0-54EE8A65C00D}"/>
            </a:ext>
          </a:extLst>
        </xdr:cNvPr>
        <xdr:cNvSpPr txBox="1">
          <a:spLocks noChangeArrowheads="1"/>
        </xdr:cNvSpPr>
      </xdr:nvSpPr>
      <xdr:spPr bwMode="auto">
        <a:xfrm>
          <a:off x="10363200" y="14996160"/>
          <a:ext cx="76200" cy="2427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84</xdr:row>
      <xdr:rowOff>0</xdr:rowOff>
    </xdr:from>
    <xdr:ext cx="76200" cy="242760"/>
    <xdr:sp macro="" textlink="">
      <xdr:nvSpPr>
        <xdr:cNvPr id="110" name="Text Box 26">
          <a:extLst>
            <a:ext uri="{FF2B5EF4-FFF2-40B4-BE49-F238E27FC236}">
              <a16:creationId xmlns:a16="http://schemas.microsoft.com/office/drawing/2014/main" id="{7993DAED-F7EB-462F-893A-5B5C5325C603}"/>
            </a:ext>
          </a:extLst>
        </xdr:cNvPr>
        <xdr:cNvSpPr txBox="1">
          <a:spLocks noChangeArrowheads="1"/>
        </xdr:cNvSpPr>
      </xdr:nvSpPr>
      <xdr:spPr bwMode="auto">
        <a:xfrm>
          <a:off x="10363200" y="14996160"/>
          <a:ext cx="76200" cy="2427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84</xdr:row>
      <xdr:rowOff>0</xdr:rowOff>
    </xdr:from>
    <xdr:ext cx="76200" cy="242760"/>
    <xdr:sp macro="" textlink="">
      <xdr:nvSpPr>
        <xdr:cNvPr id="111" name="Text Box 27">
          <a:extLst>
            <a:ext uri="{FF2B5EF4-FFF2-40B4-BE49-F238E27FC236}">
              <a16:creationId xmlns:a16="http://schemas.microsoft.com/office/drawing/2014/main" id="{FF688C37-E698-4472-B45D-5E70A2AFDB4E}"/>
            </a:ext>
          </a:extLst>
        </xdr:cNvPr>
        <xdr:cNvSpPr txBox="1">
          <a:spLocks noChangeArrowheads="1"/>
        </xdr:cNvSpPr>
      </xdr:nvSpPr>
      <xdr:spPr bwMode="auto">
        <a:xfrm>
          <a:off x="10363200" y="14996160"/>
          <a:ext cx="76200" cy="2427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84</xdr:row>
      <xdr:rowOff>0</xdr:rowOff>
    </xdr:from>
    <xdr:ext cx="76200" cy="242760"/>
    <xdr:sp macro="" textlink="">
      <xdr:nvSpPr>
        <xdr:cNvPr id="112" name="Text Box 28">
          <a:extLst>
            <a:ext uri="{FF2B5EF4-FFF2-40B4-BE49-F238E27FC236}">
              <a16:creationId xmlns:a16="http://schemas.microsoft.com/office/drawing/2014/main" id="{40D8B32D-7E73-4259-B66B-4BD01917F861}"/>
            </a:ext>
          </a:extLst>
        </xdr:cNvPr>
        <xdr:cNvSpPr txBox="1">
          <a:spLocks noChangeArrowheads="1"/>
        </xdr:cNvSpPr>
      </xdr:nvSpPr>
      <xdr:spPr bwMode="auto">
        <a:xfrm>
          <a:off x="10363200" y="14996160"/>
          <a:ext cx="76200" cy="2427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84</xdr:row>
      <xdr:rowOff>0</xdr:rowOff>
    </xdr:from>
    <xdr:ext cx="76200" cy="242761"/>
    <xdr:sp macro="" textlink="">
      <xdr:nvSpPr>
        <xdr:cNvPr id="113" name="Text Box 25">
          <a:extLst>
            <a:ext uri="{FF2B5EF4-FFF2-40B4-BE49-F238E27FC236}">
              <a16:creationId xmlns:a16="http://schemas.microsoft.com/office/drawing/2014/main" id="{691B835C-A7EC-442F-A9E0-13D8675FBF75}"/>
            </a:ext>
          </a:extLst>
        </xdr:cNvPr>
        <xdr:cNvSpPr txBox="1">
          <a:spLocks noChangeArrowheads="1"/>
        </xdr:cNvSpPr>
      </xdr:nvSpPr>
      <xdr:spPr bwMode="auto">
        <a:xfrm>
          <a:off x="9753600" y="14996160"/>
          <a:ext cx="76200" cy="2427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84</xdr:row>
      <xdr:rowOff>0</xdr:rowOff>
    </xdr:from>
    <xdr:ext cx="76200" cy="242761"/>
    <xdr:sp macro="" textlink="">
      <xdr:nvSpPr>
        <xdr:cNvPr id="114" name="Text Box 26">
          <a:extLst>
            <a:ext uri="{FF2B5EF4-FFF2-40B4-BE49-F238E27FC236}">
              <a16:creationId xmlns:a16="http://schemas.microsoft.com/office/drawing/2014/main" id="{51EDCA48-DEEE-4A40-9A3F-18CD510CFF00}"/>
            </a:ext>
          </a:extLst>
        </xdr:cNvPr>
        <xdr:cNvSpPr txBox="1">
          <a:spLocks noChangeArrowheads="1"/>
        </xdr:cNvSpPr>
      </xdr:nvSpPr>
      <xdr:spPr bwMode="auto">
        <a:xfrm>
          <a:off x="9753600" y="14996160"/>
          <a:ext cx="76200" cy="2427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84</xdr:row>
      <xdr:rowOff>0</xdr:rowOff>
    </xdr:from>
    <xdr:ext cx="76200" cy="242761"/>
    <xdr:sp macro="" textlink="">
      <xdr:nvSpPr>
        <xdr:cNvPr id="115" name="Text Box 27">
          <a:extLst>
            <a:ext uri="{FF2B5EF4-FFF2-40B4-BE49-F238E27FC236}">
              <a16:creationId xmlns:a16="http://schemas.microsoft.com/office/drawing/2014/main" id="{B436D349-98F3-4847-AF31-12925CE91BDE}"/>
            </a:ext>
          </a:extLst>
        </xdr:cNvPr>
        <xdr:cNvSpPr txBox="1">
          <a:spLocks noChangeArrowheads="1"/>
        </xdr:cNvSpPr>
      </xdr:nvSpPr>
      <xdr:spPr bwMode="auto">
        <a:xfrm>
          <a:off x="9753600" y="14996160"/>
          <a:ext cx="76200" cy="2427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84</xdr:row>
      <xdr:rowOff>0</xdr:rowOff>
    </xdr:from>
    <xdr:ext cx="76200" cy="242761"/>
    <xdr:sp macro="" textlink="">
      <xdr:nvSpPr>
        <xdr:cNvPr id="116" name="Text Box 28">
          <a:extLst>
            <a:ext uri="{FF2B5EF4-FFF2-40B4-BE49-F238E27FC236}">
              <a16:creationId xmlns:a16="http://schemas.microsoft.com/office/drawing/2014/main" id="{D5B9699A-0B72-44F1-9B92-36A853382097}"/>
            </a:ext>
          </a:extLst>
        </xdr:cNvPr>
        <xdr:cNvSpPr txBox="1">
          <a:spLocks noChangeArrowheads="1"/>
        </xdr:cNvSpPr>
      </xdr:nvSpPr>
      <xdr:spPr bwMode="auto">
        <a:xfrm>
          <a:off x="9753600" y="14996160"/>
          <a:ext cx="76200" cy="2427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84</xdr:row>
      <xdr:rowOff>0</xdr:rowOff>
    </xdr:from>
    <xdr:ext cx="76200" cy="242762"/>
    <xdr:sp macro="" textlink="">
      <xdr:nvSpPr>
        <xdr:cNvPr id="117" name="Text Box 25">
          <a:extLst>
            <a:ext uri="{FF2B5EF4-FFF2-40B4-BE49-F238E27FC236}">
              <a16:creationId xmlns:a16="http://schemas.microsoft.com/office/drawing/2014/main" id="{9E89B30F-904E-4741-B46D-EFCDE0415F91}"/>
            </a:ext>
          </a:extLst>
        </xdr:cNvPr>
        <xdr:cNvSpPr txBox="1">
          <a:spLocks noChangeArrowheads="1"/>
        </xdr:cNvSpPr>
      </xdr:nvSpPr>
      <xdr:spPr bwMode="auto">
        <a:xfrm>
          <a:off x="10363200" y="14996160"/>
          <a:ext cx="76200" cy="2427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84</xdr:row>
      <xdr:rowOff>0</xdr:rowOff>
    </xdr:from>
    <xdr:ext cx="76200" cy="242762"/>
    <xdr:sp macro="" textlink="">
      <xdr:nvSpPr>
        <xdr:cNvPr id="118" name="Text Box 26">
          <a:extLst>
            <a:ext uri="{FF2B5EF4-FFF2-40B4-BE49-F238E27FC236}">
              <a16:creationId xmlns:a16="http://schemas.microsoft.com/office/drawing/2014/main" id="{E004D813-BE12-410A-A913-1BCF4BB6B3F7}"/>
            </a:ext>
          </a:extLst>
        </xdr:cNvPr>
        <xdr:cNvSpPr txBox="1">
          <a:spLocks noChangeArrowheads="1"/>
        </xdr:cNvSpPr>
      </xdr:nvSpPr>
      <xdr:spPr bwMode="auto">
        <a:xfrm>
          <a:off x="10363200" y="14996160"/>
          <a:ext cx="76200" cy="2427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84</xdr:row>
      <xdr:rowOff>0</xdr:rowOff>
    </xdr:from>
    <xdr:ext cx="76200" cy="242762"/>
    <xdr:sp macro="" textlink="">
      <xdr:nvSpPr>
        <xdr:cNvPr id="119" name="Text Box 27">
          <a:extLst>
            <a:ext uri="{FF2B5EF4-FFF2-40B4-BE49-F238E27FC236}">
              <a16:creationId xmlns:a16="http://schemas.microsoft.com/office/drawing/2014/main" id="{03A21D60-673F-41C0-8941-435F346B905E}"/>
            </a:ext>
          </a:extLst>
        </xdr:cNvPr>
        <xdr:cNvSpPr txBox="1">
          <a:spLocks noChangeArrowheads="1"/>
        </xdr:cNvSpPr>
      </xdr:nvSpPr>
      <xdr:spPr bwMode="auto">
        <a:xfrm>
          <a:off x="10363200" y="14996160"/>
          <a:ext cx="76200" cy="2427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84</xdr:row>
      <xdr:rowOff>0</xdr:rowOff>
    </xdr:from>
    <xdr:ext cx="76200" cy="242762"/>
    <xdr:sp macro="" textlink="">
      <xdr:nvSpPr>
        <xdr:cNvPr id="120" name="Text Box 28">
          <a:extLst>
            <a:ext uri="{FF2B5EF4-FFF2-40B4-BE49-F238E27FC236}">
              <a16:creationId xmlns:a16="http://schemas.microsoft.com/office/drawing/2014/main" id="{BC03CA55-AFF6-4D9D-AD83-D77E01115765}"/>
            </a:ext>
          </a:extLst>
        </xdr:cNvPr>
        <xdr:cNvSpPr txBox="1">
          <a:spLocks noChangeArrowheads="1"/>
        </xdr:cNvSpPr>
      </xdr:nvSpPr>
      <xdr:spPr bwMode="auto">
        <a:xfrm>
          <a:off x="10363200" y="14996160"/>
          <a:ext cx="76200" cy="2427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84</xdr:row>
      <xdr:rowOff>0</xdr:rowOff>
    </xdr:from>
    <xdr:ext cx="76200" cy="242765"/>
    <xdr:sp macro="" textlink="">
      <xdr:nvSpPr>
        <xdr:cNvPr id="121" name="Text Box 25">
          <a:extLst>
            <a:ext uri="{FF2B5EF4-FFF2-40B4-BE49-F238E27FC236}">
              <a16:creationId xmlns:a16="http://schemas.microsoft.com/office/drawing/2014/main" id="{B4539D33-B3F2-4740-8E3F-FDDD055C806E}"/>
            </a:ext>
          </a:extLst>
        </xdr:cNvPr>
        <xdr:cNvSpPr txBox="1">
          <a:spLocks noChangeArrowheads="1"/>
        </xdr:cNvSpPr>
      </xdr:nvSpPr>
      <xdr:spPr bwMode="auto">
        <a:xfrm>
          <a:off x="10363200" y="14996160"/>
          <a:ext cx="76200" cy="2427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84</xdr:row>
      <xdr:rowOff>0</xdr:rowOff>
    </xdr:from>
    <xdr:ext cx="76200" cy="242765"/>
    <xdr:sp macro="" textlink="">
      <xdr:nvSpPr>
        <xdr:cNvPr id="122" name="Text Box 26">
          <a:extLst>
            <a:ext uri="{FF2B5EF4-FFF2-40B4-BE49-F238E27FC236}">
              <a16:creationId xmlns:a16="http://schemas.microsoft.com/office/drawing/2014/main" id="{8689F3BF-1CC2-412E-B424-8C0F64E58DA2}"/>
            </a:ext>
          </a:extLst>
        </xdr:cNvPr>
        <xdr:cNvSpPr txBox="1">
          <a:spLocks noChangeArrowheads="1"/>
        </xdr:cNvSpPr>
      </xdr:nvSpPr>
      <xdr:spPr bwMode="auto">
        <a:xfrm>
          <a:off x="10363200" y="14996160"/>
          <a:ext cx="76200" cy="2427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84</xdr:row>
      <xdr:rowOff>0</xdr:rowOff>
    </xdr:from>
    <xdr:ext cx="76200" cy="242765"/>
    <xdr:sp macro="" textlink="">
      <xdr:nvSpPr>
        <xdr:cNvPr id="123" name="Text Box 27">
          <a:extLst>
            <a:ext uri="{FF2B5EF4-FFF2-40B4-BE49-F238E27FC236}">
              <a16:creationId xmlns:a16="http://schemas.microsoft.com/office/drawing/2014/main" id="{8D1B529B-844F-4AD8-905D-6DAA0E111771}"/>
            </a:ext>
          </a:extLst>
        </xdr:cNvPr>
        <xdr:cNvSpPr txBox="1">
          <a:spLocks noChangeArrowheads="1"/>
        </xdr:cNvSpPr>
      </xdr:nvSpPr>
      <xdr:spPr bwMode="auto">
        <a:xfrm>
          <a:off x="10363200" y="14996160"/>
          <a:ext cx="76200" cy="2427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84</xdr:row>
      <xdr:rowOff>0</xdr:rowOff>
    </xdr:from>
    <xdr:ext cx="76200" cy="242765"/>
    <xdr:sp macro="" textlink="">
      <xdr:nvSpPr>
        <xdr:cNvPr id="124" name="Text Box 28">
          <a:extLst>
            <a:ext uri="{FF2B5EF4-FFF2-40B4-BE49-F238E27FC236}">
              <a16:creationId xmlns:a16="http://schemas.microsoft.com/office/drawing/2014/main" id="{21CB9D2A-00F2-4849-BBD9-C108E36D071B}"/>
            </a:ext>
          </a:extLst>
        </xdr:cNvPr>
        <xdr:cNvSpPr txBox="1">
          <a:spLocks noChangeArrowheads="1"/>
        </xdr:cNvSpPr>
      </xdr:nvSpPr>
      <xdr:spPr bwMode="auto">
        <a:xfrm>
          <a:off x="10363200" y="14996160"/>
          <a:ext cx="76200" cy="2427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84</xdr:row>
      <xdr:rowOff>0</xdr:rowOff>
    </xdr:from>
    <xdr:ext cx="76200" cy="242763"/>
    <xdr:sp macro="" textlink="">
      <xdr:nvSpPr>
        <xdr:cNvPr id="125" name="Text Box 25">
          <a:extLst>
            <a:ext uri="{FF2B5EF4-FFF2-40B4-BE49-F238E27FC236}">
              <a16:creationId xmlns:a16="http://schemas.microsoft.com/office/drawing/2014/main" id="{01F94DA1-A724-4EC1-A434-0C0DA686762B}"/>
            </a:ext>
          </a:extLst>
        </xdr:cNvPr>
        <xdr:cNvSpPr txBox="1">
          <a:spLocks noChangeArrowheads="1"/>
        </xdr:cNvSpPr>
      </xdr:nvSpPr>
      <xdr:spPr bwMode="auto">
        <a:xfrm>
          <a:off x="9753600" y="14996160"/>
          <a:ext cx="76200" cy="2427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84</xdr:row>
      <xdr:rowOff>0</xdr:rowOff>
    </xdr:from>
    <xdr:ext cx="76200" cy="242763"/>
    <xdr:sp macro="" textlink="">
      <xdr:nvSpPr>
        <xdr:cNvPr id="126" name="Text Box 26">
          <a:extLst>
            <a:ext uri="{FF2B5EF4-FFF2-40B4-BE49-F238E27FC236}">
              <a16:creationId xmlns:a16="http://schemas.microsoft.com/office/drawing/2014/main" id="{59BB5D16-8A4C-482A-BCF4-B1F5114CA8C8}"/>
            </a:ext>
          </a:extLst>
        </xdr:cNvPr>
        <xdr:cNvSpPr txBox="1">
          <a:spLocks noChangeArrowheads="1"/>
        </xdr:cNvSpPr>
      </xdr:nvSpPr>
      <xdr:spPr bwMode="auto">
        <a:xfrm>
          <a:off x="9753600" y="14996160"/>
          <a:ext cx="76200" cy="2427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84</xdr:row>
      <xdr:rowOff>0</xdr:rowOff>
    </xdr:from>
    <xdr:ext cx="76200" cy="242763"/>
    <xdr:sp macro="" textlink="">
      <xdr:nvSpPr>
        <xdr:cNvPr id="127" name="Text Box 27">
          <a:extLst>
            <a:ext uri="{FF2B5EF4-FFF2-40B4-BE49-F238E27FC236}">
              <a16:creationId xmlns:a16="http://schemas.microsoft.com/office/drawing/2014/main" id="{96ACC18E-649D-4D4C-8FF9-D5D3F7A15014}"/>
            </a:ext>
          </a:extLst>
        </xdr:cNvPr>
        <xdr:cNvSpPr txBox="1">
          <a:spLocks noChangeArrowheads="1"/>
        </xdr:cNvSpPr>
      </xdr:nvSpPr>
      <xdr:spPr bwMode="auto">
        <a:xfrm>
          <a:off x="9753600" y="14996160"/>
          <a:ext cx="76200" cy="2427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84</xdr:row>
      <xdr:rowOff>0</xdr:rowOff>
    </xdr:from>
    <xdr:ext cx="76200" cy="242763"/>
    <xdr:sp macro="" textlink="">
      <xdr:nvSpPr>
        <xdr:cNvPr id="128" name="Text Box 28">
          <a:extLst>
            <a:ext uri="{FF2B5EF4-FFF2-40B4-BE49-F238E27FC236}">
              <a16:creationId xmlns:a16="http://schemas.microsoft.com/office/drawing/2014/main" id="{131E3CB0-F328-481D-827A-C084EECDA54B}"/>
            </a:ext>
          </a:extLst>
        </xdr:cNvPr>
        <xdr:cNvSpPr txBox="1">
          <a:spLocks noChangeArrowheads="1"/>
        </xdr:cNvSpPr>
      </xdr:nvSpPr>
      <xdr:spPr bwMode="auto">
        <a:xfrm>
          <a:off x="9753600" y="14996160"/>
          <a:ext cx="76200" cy="2427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87</xdr:row>
      <xdr:rowOff>0</xdr:rowOff>
    </xdr:from>
    <xdr:ext cx="76200" cy="277142"/>
    <xdr:sp macro="" textlink="">
      <xdr:nvSpPr>
        <xdr:cNvPr id="129" name="Text Box 25">
          <a:extLst>
            <a:ext uri="{FF2B5EF4-FFF2-40B4-BE49-F238E27FC236}">
              <a16:creationId xmlns:a16="http://schemas.microsoft.com/office/drawing/2014/main" id="{80F087EE-1EDD-43F6-A00F-95BCBA9B4506}"/>
            </a:ext>
          </a:extLst>
        </xdr:cNvPr>
        <xdr:cNvSpPr txBox="1">
          <a:spLocks noChangeArrowheads="1"/>
        </xdr:cNvSpPr>
      </xdr:nvSpPr>
      <xdr:spPr bwMode="auto">
        <a:xfrm>
          <a:off x="9753600" y="15544800"/>
          <a:ext cx="76200" cy="27714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87</xdr:row>
      <xdr:rowOff>0</xdr:rowOff>
    </xdr:from>
    <xdr:ext cx="76200" cy="277142"/>
    <xdr:sp macro="" textlink="">
      <xdr:nvSpPr>
        <xdr:cNvPr id="130" name="Text Box 26">
          <a:extLst>
            <a:ext uri="{FF2B5EF4-FFF2-40B4-BE49-F238E27FC236}">
              <a16:creationId xmlns:a16="http://schemas.microsoft.com/office/drawing/2014/main" id="{BA81C23A-2B3F-488A-A670-9C533C4CBD1A}"/>
            </a:ext>
          </a:extLst>
        </xdr:cNvPr>
        <xdr:cNvSpPr txBox="1">
          <a:spLocks noChangeArrowheads="1"/>
        </xdr:cNvSpPr>
      </xdr:nvSpPr>
      <xdr:spPr bwMode="auto">
        <a:xfrm>
          <a:off x="9753600" y="15544800"/>
          <a:ext cx="76200" cy="27714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87</xdr:row>
      <xdr:rowOff>0</xdr:rowOff>
    </xdr:from>
    <xdr:ext cx="76200" cy="277142"/>
    <xdr:sp macro="" textlink="">
      <xdr:nvSpPr>
        <xdr:cNvPr id="131" name="Text Box 27">
          <a:extLst>
            <a:ext uri="{FF2B5EF4-FFF2-40B4-BE49-F238E27FC236}">
              <a16:creationId xmlns:a16="http://schemas.microsoft.com/office/drawing/2014/main" id="{20D1167D-4C3F-45D9-A296-2E8A37CECA31}"/>
            </a:ext>
          </a:extLst>
        </xdr:cNvPr>
        <xdr:cNvSpPr txBox="1">
          <a:spLocks noChangeArrowheads="1"/>
        </xdr:cNvSpPr>
      </xdr:nvSpPr>
      <xdr:spPr bwMode="auto">
        <a:xfrm>
          <a:off x="9753600" y="15544800"/>
          <a:ext cx="76200" cy="27714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298311"/>
    <xdr:sp macro="" textlink="">
      <xdr:nvSpPr>
        <xdr:cNvPr id="132" name="Text Box 28">
          <a:extLst>
            <a:ext uri="{FF2B5EF4-FFF2-40B4-BE49-F238E27FC236}">
              <a16:creationId xmlns:a16="http://schemas.microsoft.com/office/drawing/2014/main" id="{5B321AED-6424-4811-8876-7C4D03BF815B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2983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108</xdr:row>
      <xdr:rowOff>0</xdr:rowOff>
    </xdr:from>
    <xdr:ext cx="76200" cy="259999"/>
    <xdr:sp macro="" textlink="">
      <xdr:nvSpPr>
        <xdr:cNvPr id="133" name="Text Box 25">
          <a:extLst>
            <a:ext uri="{FF2B5EF4-FFF2-40B4-BE49-F238E27FC236}">
              <a16:creationId xmlns:a16="http://schemas.microsoft.com/office/drawing/2014/main" id="{8B57E6E9-5D40-40D5-A30A-0B9B08C0FBC8}"/>
            </a:ext>
          </a:extLst>
        </xdr:cNvPr>
        <xdr:cNvSpPr txBox="1">
          <a:spLocks noChangeArrowheads="1"/>
        </xdr:cNvSpPr>
      </xdr:nvSpPr>
      <xdr:spPr bwMode="auto">
        <a:xfrm>
          <a:off x="9753600" y="19385280"/>
          <a:ext cx="76200" cy="2599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108</xdr:row>
      <xdr:rowOff>0</xdr:rowOff>
    </xdr:from>
    <xdr:ext cx="76200" cy="259999"/>
    <xdr:sp macro="" textlink="">
      <xdr:nvSpPr>
        <xdr:cNvPr id="134" name="Text Box 26">
          <a:extLst>
            <a:ext uri="{FF2B5EF4-FFF2-40B4-BE49-F238E27FC236}">
              <a16:creationId xmlns:a16="http://schemas.microsoft.com/office/drawing/2014/main" id="{F1A44307-5F61-4BAD-A2F6-CA549E2646FA}"/>
            </a:ext>
          </a:extLst>
        </xdr:cNvPr>
        <xdr:cNvSpPr txBox="1">
          <a:spLocks noChangeArrowheads="1"/>
        </xdr:cNvSpPr>
      </xdr:nvSpPr>
      <xdr:spPr bwMode="auto">
        <a:xfrm>
          <a:off x="9753600" y="19385280"/>
          <a:ext cx="76200" cy="2599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108</xdr:row>
      <xdr:rowOff>0</xdr:rowOff>
    </xdr:from>
    <xdr:ext cx="76200" cy="259999"/>
    <xdr:sp macro="" textlink="">
      <xdr:nvSpPr>
        <xdr:cNvPr id="135" name="Text Box 27">
          <a:extLst>
            <a:ext uri="{FF2B5EF4-FFF2-40B4-BE49-F238E27FC236}">
              <a16:creationId xmlns:a16="http://schemas.microsoft.com/office/drawing/2014/main" id="{9C56F15A-AF2A-4C35-AF07-2F888153E416}"/>
            </a:ext>
          </a:extLst>
        </xdr:cNvPr>
        <xdr:cNvSpPr txBox="1">
          <a:spLocks noChangeArrowheads="1"/>
        </xdr:cNvSpPr>
      </xdr:nvSpPr>
      <xdr:spPr bwMode="auto">
        <a:xfrm>
          <a:off x="9753600" y="19385280"/>
          <a:ext cx="76200" cy="2599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108</xdr:row>
      <xdr:rowOff>0</xdr:rowOff>
    </xdr:from>
    <xdr:ext cx="76200" cy="259999"/>
    <xdr:sp macro="" textlink="">
      <xdr:nvSpPr>
        <xdr:cNvPr id="136" name="Text Box 28">
          <a:extLst>
            <a:ext uri="{FF2B5EF4-FFF2-40B4-BE49-F238E27FC236}">
              <a16:creationId xmlns:a16="http://schemas.microsoft.com/office/drawing/2014/main" id="{9C550054-7A03-4F86-9EA4-6192693BE3B2}"/>
            </a:ext>
          </a:extLst>
        </xdr:cNvPr>
        <xdr:cNvSpPr txBox="1">
          <a:spLocks noChangeArrowheads="1"/>
        </xdr:cNvSpPr>
      </xdr:nvSpPr>
      <xdr:spPr bwMode="auto">
        <a:xfrm>
          <a:off x="9753600" y="19385280"/>
          <a:ext cx="76200" cy="2599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84</xdr:row>
      <xdr:rowOff>0</xdr:rowOff>
    </xdr:from>
    <xdr:ext cx="76200" cy="242759"/>
    <xdr:sp macro="" textlink="">
      <xdr:nvSpPr>
        <xdr:cNvPr id="137" name="Text Box 25">
          <a:extLst>
            <a:ext uri="{FF2B5EF4-FFF2-40B4-BE49-F238E27FC236}">
              <a16:creationId xmlns:a16="http://schemas.microsoft.com/office/drawing/2014/main" id="{301D190D-87B8-44E5-9900-865E771E86B3}"/>
            </a:ext>
          </a:extLst>
        </xdr:cNvPr>
        <xdr:cNvSpPr txBox="1">
          <a:spLocks noChangeArrowheads="1"/>
        </xdr:cNvSpPr>
      </xdr:nvSpPr>
      <xdr:spPr bwMode="auto">
        <a:xfrm>
          <a:off x="10363200" y="14996160"/>
          <a:ext cx="76200" cy="2427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84</xdr:row>
      <xdr:rowOff>0</xdr:rowOff>
    </xdr:from>
    <xdr:ext cx="76200" cy="242759"/>
    <xdr:sp macro="" textlink="">
      <xdr:nvSpPr>
        <xdr:cNvPr id="138" name="Text Box 26">
          <a:extLst>
            <a:ext uri="{FF2B5EF4-FFF2-40B4-BE49-F238E27FC236}">
              <a16:creationId xmlns:a16="http://schemas.microsoft.com/office/drawing/2014/main" id="{B8FDC282-AD7D-44BE-BEEE-DF0024B8A7D8}"/>
            </a:ext>
          </a:extLst>
        </xdr:cNvPr>
        <xdr:cNvSpPr txBox="1">
          <a:spLocks noChangeArrowheads="1"/>
        </xdr:cNvSpPr>
      </xdr:nvSpPr>
      <xdr:spPr bwMode="auto">
        <a:xfrm>
          <a:off x="10363200" y="14996160"/>
          <a:ext cx="76200" cy="2427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84</xdr:row>
      <xdr:rowOff>0</xdr:rowOff>
    </xdr:from>
    <xdr:ext cx="76200" cy="242759"/>
    <xdr:sp macro="" textlink="">
      <xdr:nvSpPr>
        <xdr:cNvPr id="139" name="Text Box 27">
          <a:extLst>
            <a:ext uri="{FF2B5EF4-FFF2-40B4-BE49-F238E27FC236}">
              <a16:creationId xmlns:a16="http://schemas.microsoft.com/office/drawing/2014/main" id="{4EDBF0BB-9A18-4725-B209-3E779479EE78}"/>
            </a:ext>
          </a:extLst>
        </xdr:cNvPr>
        <xdr:cNvSpPr txBox="1">
          <a:spLocks noChangeArrowheads="1"/>
        </xdr:cNvSpPr>
      </xdr:nvSpPr>
      <xdr:spPr bwMode="auto">
        <a:xfrm>
          <a:off x="10363200" y="14996160"/>
          <a:ext cx="76200" cy="2427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84</xdr:row>
      <xdr:rowOff>0</xdr:rowOff>
    </xdr:from>
    <xdr:ext cx="76200" cy="242759"/>
    <xdr:sp macro="" textlink="">
      <xdr:nvSpPr>
        <xdr:cNvPr id="140" name="Text Box 28">
          <a:extLst>
            <a:ext uri="{FF2B5EF4-FFF2-40B4-BE49-F238E27FC236}">
              <a16:creationId xmlns:a16="http://schemas.microsoft.com/office/drawing/2014/main" id="{5567EF4E-AEBF-41C8-9991-16B1854234BD}"/>
            </a:ext>
          </a:extLst>
        </xdr:cNvPr>
        <xdr:cNvSpPr txBox="1">
          <a:spLocks noChangeArrowheads="1"/>
        </xdr:cNvSpPr>
      </xdr:nvSpPr>
      <xdr:spPr bwMode="auto">
        <a:xfrm>
          <a:off x="10363200" y="14996160"/>
          <a:ext cx="76200" cy="2427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84</xdr:row>
      <xdr:rowOff>0</xdr:rowOff>
    </xdr:from>
    <xdr:ext cx="76200" cy="242760"/>
    <xdr:sp macro="" textlink="">
      <xdr:nvSpPr>
        <xdr:cNvPr id="141" name="Text Box 25">
          <a:extLst>
            <a:ext uri="{FF2B5EF4-FFF2-40B4-BE49-F238E27FC236}">
              <a16:creationId xmlns:a16="http://schemas.microsoft.com/office/drawing/2014/main" id="{483A6022-58E9-46D7-8236-6293959DEAE3}"/>
            </a:ext>
          </a:extLst>
        </xdr:cNvPr>
        <xdr:cNvSpPr txBox="1">
          <a:spLocks noChangeArrowheads="1"/>
        </xdr:cNvSpPr>
      </xdr:nvSpPr>
      <xdr:spPr bwMode="auto">
        <a:xfrm>
          <a:off x="9753600" y="14996160"/>
          <a:ext cx="76200" cy="2427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84</xdr:row>
      <xdr:rowOff>0</xdr:rowOff>
    </xdr:from>
    <xdr:ext cx="76200" cy="242760"/>
    <xdr:sp macro="" textlink="">
      <xdr:nvSpPr>
        <xdr:cNvPr id="142" name="Text Box 26">
          <a:extLst>
            <a:ext uri="{FF2B5EF4-FFF2-40B4-BE49-F238E27FC236}">
              <a16:creationId xmlns:a16="http://schemas.microsoft.com/office/drawing/2014/main" id="{13876878-B716-4B97-8608-3D11FED5F7E6}"/>
            </a:ext>
          </a:extLst>
        </xdr:cNvPr>
        <xdr:cNvSpPr txBox="1">
          <a:spLocks noChangeArrowheads="1"/>
        </xdr:cNvSpPr>
      </xdr:nvSpPr>
      <xdr:spPr bwMode="auto">
        <a:xfrm>
          <a:off x="9753600" y="14996160"/>
          <a:ext cx="76200" cy="2427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84</xdr:row>
      <xdr:rowOff>0</xdr:rowOff>
    </xdr:from>
    <xdr:ext cx="76200" cy="242760"/>
    <xdr:sp macro="" textlink="">
      <xdr:nvSpPr>
        <xdr:cNvPr id="143" name="Text Box 27">
          <a:extLst>
            <a:ext uri="{FF2B5EF4-FFF2-40B4-BE49-F238E27FC236}">
              <a16:creationId xmlns:a16="http://schemas.microsoft.com/office/drawing/2014/main" id="{DAAAAD12-60E8-41F4-A81C-DE7339C6DE11}"/>
            </a:ext>
          </a:extLst>
        </xdr:cNvPr>
        <xdr:cNvSpPr txBox="1">
          <a:spLocks noChangeArrowheads="1"/>
        </xdr:cNvSpPr>
      </xdr:nvSpPr>
      <xdr:spPr bwMode="auto">
        <a:xfrm>
          <a:off x="9753600" y="14996160"/>
          <a:ext cx="76200" cy="2427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84</xdr:row>
      <xdr:rowOff>0</xdr:rowOff>
    </xdr:from>
    <xdr:ext cx="76200" cy="242760"/>
    <xdr:sp macro="" textlink="">
      <xdr:nvSpPr>
        <xdr:cNvPr id="144" name="Text Box 28">
          <a:extLst>
            <a:ext uri="{FF2B5EF4-FFF2-40B4-BE49-F238E27FC236}">
              <a16:creationId xmlns:a16="http://schemas.microsoft.com/office/drawing/2014/main" id="{1D05BD64-7DC9-4BF0-BA1F-DC3CB8FA04D0}"/>
            </a:ext>
          </a:extLst>
        </xdr:cNvPr>
        <xdr:cNvSpPr txBox="1">
          <a:spLocks noChangeArrowheads="1"/>
        </xdr:cNvSpPr>
      </xdr:nvSpPr>
      <xdr:spPr bwMode="auto">
        <a:xfrm>
          <a:off x="9753600" y="14996160"/>
          <a:ext cx="76200" cy="2427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90</xdr:row>
      <xdr:rowOff>0</xdr:rowOff>
    </xdr:from>
    <xdr:ext cx="76200" cy="242764"/>
    <xdr:sp macro="" textlink="">
      <xdr:nvSpPr>
        <xdr:cNvPr id="145" name="Text Box 25">
          <a:extLst>
            <a:ext uri="{FF2B5EF4-FFF2-40B4-BE49-F238E27FC236}">
              <a16:creationId xmlns:a16="http://schemas.microsoft.com/office/drawing/2014/main" id="{9949BBB0-EDD7-4C20-BC5E-770C99AD8497}"/>
            </a:ext>
          </a:extLst>
        </xdr:cNvPr>
        <xdr:cNvSpPr txBox="1">
          <a:spLocks noChangeArrowheads="1"/>
        </xdr:cNvSpPr>
      </xdr:nvSpPr>
      <xdr:spPr bwMode="auto">
        <a:xfrm>
          <a:off x="10363200" y="16093440"/>
          <a:ext cx="76200" cy="2427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90</xdr:row>
      <xdr:rowOff>0</xdr:rowOff>
    </xdr:from>
    <xdr:ext cx="76200" cy="242764"/>
    <xdr:sp macro="" textlink="">
      <xdr:nvSpPr>
        <xdr:cNvPr id="146" name="Text Box 26">
          <a:extLst>
            <a:ext uri="{FF2B5EF4-FFF2-40B4-BE49-F238E27FC236}">
              <a16:creationId xmlns:a16="http://schemas.microsoft.com/office/drawing/2014/main" id="{19FD5A6C-5011-4F5F-A79A-B54958274D08}"/>
            </a:ext>
          </a:extLst>
        </xdr:cNvPr>
        <xdr:cNvSpPr txBox="1">
          <a:spLocks noChangeArrowheads="1"/>
        </xdr:cNvSpPr>
      </xdr:nvSpPr>
      <xdr:spPr bwMode="auto">
        <a:xfrm>
          <a:off x="10363200" y="16093440"/>
          <a:ext cx="76200" cy="2427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90</xdr:row>
      <xdr:rowOff>0</xdr:rowOff>
    </xdr:from>
    <xdr:ext cx="76200" cy="242764"/>
    <xdr:sp macro="" textlink="">
      <xdr:nvSpPr>
        <xdr:cNvPr id="147" name="Text Box 27">
          <a:extLst>
            <a:ext uri="{FF2B5EF4-FFF2-40B4-BE49-F238E27FC236}">
              <a16:creationId xmlns:a16="http://schemas.microsoft.com/office/drawing/2014/main" id="{3C3921B6-7C68-40D5-8258-A951034A8D33}"/>
            </a:ext>
          </a:extLst>
        </xdr:cNvPr>
        <xdr:cNvSpPr txBox="1">
          <a:spLocks noChangeArrowheads="1"/>
        </xdr:cNvSpPr>
      </xdr:nvSpPr>
      <xdr:spPr bwMode="auto">
        <a:xfrm>
          <a:off x="10363200" y="16093440"/>
          <a:ext cx="76200" cy="2427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90</xdr:row>
      <xdr:rowOff>0</xdr:rowOff>
    </xdr:from>
    <xdr:ext cx="76200" cy="242764"/>
    <xdr:sp macro="" textlink="">
      <xdr:nvSpPr>
        <xdr:cNvPr id="148" name="Text Box 28">
          <a:extLst>
            <a:ext uri="{FF2B5EF4-FFF2-40B4-BE49-F238E27FC236}">
              <a16:creationId xmlns:a16="http://schemas.microsoft.com/office/drawing/2014/main" id="{B8670BA8-5DB5-480A-AA3B-74B32DED4330}"/>
            </a:ext>
          </a:extLst>
        </xdr:cNvPr>
        <xdr:cNvSpPr txBox="1">
          <a:spLocks noChangeArrowheads="1"/>
        </xdr:cNvSpPr>
      </xdr:nvSpPr>
      <xdr:spPr bwMode="auto">
        <a:xfrm>
          <a:off x="10363200" y="16093440"/>
          <a:ext cx="76200" cy="2427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103</xdr:row>
      <xdr:rowOff>0</xdr:rowOff>
    </xdr:from>
    <xdr:ext cx="76200" cy="242762"/>
    <xdr:sp macro="" textlink="">
      <xdr:nvSpPr>
        <xdr:cNvPr id="149" name="Text Box 25">
          <a:extLst>
            <a:ext uri="{FF2B5EF4-FFF2-40B4-BE49-F238E27FC236}">
              <a16:creationId xmlns:a16="http://schemas.microsoft.com/office/drawing/2014/main" id="{4ABE3036-1261-449E-9073-AB642ACCDAF7}"/>
            </a:ext>
          </a:extLst>
        </xdr:cNvPr>
        <xdr:cNvSpPr txBox="1">
          <a:spLocks noChangeArrowheads="1"/>
        </xdr:cNvSpPr>
      </xdr:nvSpPr>
      <xdr:spPr bwMode="auto">
        <a:xfrm>
          <a:off x="10363200" y="18470880"/>
          <a:ext cx="76200" cy="2427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103</xdr:row>
      <xdr:rowOff>0</xdr:rowOff>
    </xdr:from>
    <xdr:ext cx="76200" cy="242762"/>
    <xdr:sp macro="" textlink="">
      <xdr:nvSpPr>
        <xdr:cNvPr id="150" name="Text Box 26">
          <a:extLst>
            <a:ext uri="{FF2B5EF4-FFF2-40B4-BE49-F238E27FC236}">
              <a16:creationId xmlns:a16="http://schemas.microsoft.com/office/drawing/2014/main" id="{CB215814-C031-497E-B67E-8415628438C1}"/>
            </a:ext>
          </a:extLst>
        </xdr:cNvPr>
        <xdr:cNvSpPr txBox="1">
          <a:spLocks noChangeArrowheads="1"/>
        </xdr:cNvSpPr>
      </xdr:nvSpPr>
      <xdr:spPr bwMode="auto">
        <a:xfrm>
          <a:off x="10363200" y="18470880"/>
          <a:ext cx="76200" cy="2427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103</xdr:row>
      <xdr:rowOff>0</xdr:rowOff>
    </xdr:from>
    <xdr:ext cx="76200" cy="242762"/>
    <xdr:sp macro="" textlink="">
      <xdr:nvSpPr>
        <xdr:cNvPr id="151" name="Text Box 27">
          <a:extLst>
            <a:ext uri="{FF2B5EF4-FFF2-40B4-BE49-F238E27FC236}">
              <a16:creationId xmlns:a16="http://schemas.microsoft.com/office/drawing/2014/main" id="{691AA074-FF2B-4050-82E8-AEE5D45E77A5}"/>
            </a:ext>
          </a:extLst>
        </xdr:cNvPr>
        <xdr:cNvSpPr txBox="1">
          <a:spLocks noChangeArrowheads="1"/>
        </xdr:cNvSpPr>
      </xdr:nvSpPr>
      <xdr:spPr bwMode="auto">
        <a:xfrm>
          <a:off x="10363200" y="18470880"/>
          <a:ext cx="76200" cy="2427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103</xdr:row>
      <xdr:rowOff>0</xdr:rowOff>
    </xdr:from>
    <xdr:ext cx="76200" cy="242762"/>
    <xdr:sp macro="" textlink="">
      <xdr:nvSpPr>
        <xdr:cNvPr id="152" name="Text Box 28">
          <a:extLst>
            <a:ext uri="{FF2B5EF4-FFF2-40B4-BE49-F238E27FC236}">
              <a16:creationId xmlns:a16="http://schemas.microsoft.com/office/drawing/2014/main" id="{3BFCB3AA-C2F4-4834-81D2-3A4B739CA4ED}"/>
            </a:ext>
          </a:extLst>
        </xdr:cNvPr>
        <xdr:cNvSpPr txBox="1">
          <a:spLocks noChangeArrowheads="1"/>
        </xdr:cNvSpPr>
      </xdr:nvSpPr>
      <xdr:spPr bwMode="auto">
        <a:xfrm>
          <a:off x="10363200" y="18470880"/>
          <a:ext cx="76200" cy="2427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103</xdr:row>
      <xdr:rowOff>0</xdr:rowOff>
    </xdr:from>
    <xdr:ext cx="76200" cy="242762"/>
    <xdr:sp macro="" textlink="">
      <xdr:nvSpPr>
        <xdr:cNvPr id="153" name="Text Box 25">
          <a:extLst>
            <a:ext uri="{FF2B5EF4-FFF2-40B4-BE49-F238E27FC236}">
              <a16:creationId xmlns:a16="http://schemas.microsoft.com/office/drawing/2014/main" id="{92A817FC-4FBD-4119-A043-3F55577275F6}"/>
            </a:ext>
          </a:extLst>
        </xdr:cNvPr>
        <xdr:cNvSpPr txBox="1">
          <a:spLocks noChangeArrowheads="1"/>
        </xdr:cNvSpPr>
      </xdr:nvSpPr>
      <xdr:spPr bwMode="auto">
        <a:xfrm>
          <a:off x="9753600" y="18470880"/>
          <a:ext cx="76200" cy="2427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103</xdr:row>
      <xdr:rowOff>0</xdr:rowOff>
    </xdr:from>
    <xdr:ext cx="76200" cy="242762"/>
    <xdr:sp macro="" textlink="">
      <xdr:nvSpPr>
        <xdr:cNvPr id="154" name="Text Box 26">
          <a:extLst>
            <a:ext uri="{FF2B5EF4-FFF2-40B4-BE49-F238E27FC236}">
              <a16:creationId xmlns:a16="http://schemas.microsoft.com/office/drawing/2014/main" id="{EC6DFD04-9DA8-40A9-BF36-4D8B951EB82C}"/>
            </a:ext>
          </a:extLst>
        </xdr:cNvPr>
        <xdr:cNvSpPr txBox="1">
          <a:spLocks noChangeArrowheads="1"/>
        </xdr:cNvSpPr>
      </xdr:nvSpPr>
      <xdr:spPr bwMode="auto">
        <a:xfrm>
          <a:off x="9753600" y="18470880"/>
          <a:ext cx="76200" cy="2427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103</xdr:row>
      <xdr:rowOff>0</xdr:rowOff>
    </xdr:from>
    <xdr:ext cx="76200" cy="242762"/>
    <xdr:sp macro="" textlink="">
      <xdr:nvSpPr>
        <xdr:cNvPr id="155" name="Text Box 27">
          <a:extLst>
            <a:ext uri="{FF2B5EF4-FFF2-40B4-BE49-F238E27FC236}">
              <a16:creationId xmlns:a16="http://schemas.microsoft.com/office/drawing/2014/main" id="{A931E575-D55E-427D-9B46-758E96040A66}"/>
            </a:ext>
          </a:extLst>
        </xdr:cNvPr>
        <xdr:cNvSpPr txBox="1">
          <a:spLocks noChangeArrowheads="1"/>
        </xdr:cNvSpPr>
      </xdr:nvSpPr>
      <xdr:spPr bwMode="auto">
        <a:xfrm>
          <a:off x="9753600" y="18470880"/>
          <a:ext cx="76200" cy="2427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103</xdr:row>
      <xdr:rowOff>0</xdr:rowOff>
    </xdr:from>
    <xdr:ext cx="76200" cy="242762"/>
    <xdr:sp macro="" textlink="">
      <xdr:nvSpPr>
        <xdr:cNvPr id="156" name="Text Box 28">
          <a:extLst>
            <a:ext uri="{FF2B5EF4-FFF2-40B4-BE49-F238E27FC236}">
              <a16:creationId xmlns:a16="http://schemas.microsoft.com/office/drawing/2014/main" id="{8CBAE303-762C-41AD-B7FB-FC0FEBBD9BB9}"/>
            </a:ext>
          </a:extLst>
        </xdr:cNvPr>
        <xdr:cNvSpPr txBox="1">
          <a:spLocks noChangeArrowheads="1"/>
        </xdr:cNvSpPr>
      </xdr:nvSpPr>
      <xdr:spPr bwMode="auto">
        <a:xfrm>
          <a:off x="9753600" y="18470880"/>
          <a:ext cx="76200" cy="2427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103</xdr:row>
      <xdr:rowOff>0</xdr:rowOff>
    </xdr:from>
    <xdr:ext cx="76200" cy="277141"/>
    <xdr:sp macro="" textlink="">
      <xdr:nvSpPr>
        <xdr:cNvPr id="157" name="Text Box 25">
          <a:extLst>
            <a:ext uri="{FF2B5EF4-FFF2-40B4-BE49-F238E27FC236}">
              <a16:creationId xmlns:a16="http://schemas.microsoft.com/office/drawing/2014/main" id="{3967ED61-9E75-4EC1-9B8A-DFC01BFD4CA2}"/>
            </a:ext>
          </a:extLst>
        </xdr:cNvPr>
        <xdr:cNvSpPr txBox="1">
          <a:spLocks noChangeArrowheads="1"/>
        </xdr:cNvSpPr>
      </xdr:nvSpPr>
      <xdr:spPr bwMode="auto">
        <a:xfrm>
          <a:off x="9753600" y="18470880"/>
          <a:ext cx="76200" cy="2771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103</xdr:row>
      <xdr:rowOff>0</xdr:rowOff>
    </xdr:from>
    <xdr:ext cx="76200" cy="277141"/>
    <xdr:sp macro="" textlink="">
      <xdr:nvSpPr>
        <xdr:cNvPr id="158" name="Text Box 26">
          <a:extLst>
            <a:ext uri="{FF2B5EF4-FFF2-40B4-BE49-F238E27FC236}">
              <a16:creationId xmlns:a16="http://schemas.microsoft.com/office/drawing/2014/main" id="{9361E431-17B4-4201-B202-A5B4AF78C946}"/>
            </a:ext>
          </a:extLst>
        </xdr:cNvPr>
        <xdr:cNvSpPr txBox="1">
          <a:spLocks noChangeArrowheads="1"/>
        </xdr:cNvSpPr>
      </xdr:nvSpPr>
      <xdr:spPr bwMode="auto">
        <a:xfrm>
          <a:off x="9753600" y="18470880"/>
          <a:ext cx="76200" cy="2771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103</xdr:row>
      <xdr:rowOff>0</xdr:rowOff>
    </xdr:from>
    <xdr:ext cx="76200" cy="277141"/>
    <xdr:sp macro="" textlink="">
      <xdr:nvSpPr>
        <xdr:cNvPr id="159" name="Text Box 27">
          <a:extLst>
            <a:ext uri="{FF2B5EF4-FFF2-40B4-BE49-F238E27FC236}">
              <a16:creationId xmlns:a16="http://schemas.microsoft.com/office/drawing/2014/main" id="{43EAE6EA-12DA-4778-9D9A-6B36C95F3A7D}"/>
            </a:ext>
          </a:extLst>
        </xdr:cNvPr>
        <xdr:cNvSpPr txBox="1">
          <a:spLocks noChangeArrowheads="1"/>
        </xdr:cNvSpPr>
      </xdr:nvSpPr>
      <xdr:spPr bwMode="auto">
        <a:xfrm>
          <a:off x="9753600" y="18470880"/>
          <a:ext cx="76200" cy="2771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103</xdr:row>
      <xdr:rowOff>0</xdr:rowOff>
    </xdr:from>
    <xdr:ext cx="76200" cy="277141"/>
    <xdr:sp macro="" textlink="">
      <xdr:nvSpPr>
        <xdr:cNvPr id="160" name="Text Box 28">
          <a:extLst>
            <a:ext uri="{FF2B5EF4-FFF2-40B4-BE49-F238E27FC236}">
              <a16:creationId xmlns:a16="http://schemas.microsoft.com/office/drawing/2014/main" id="{0AE004C0-C353-4ED4-9083-B0439170C9E0}"/>
            </a:ext>
          </a:extLst>
        </xdr:cNvPr>
        <xdr:cNvSpPr txBox="1">
          <a:spLocks noChangeArrowheads="1"/>
        </xdr:cNvSpPr>
      </xdr:nvSpPr>
      <xdr:spPr bwMode="auto">
        <a:xfrm>
          <a:off x="9753600" y="18470880"/>
          <a:ext cx="76200" cy="2771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103</xdr:row>
      <xdr:rowOff>0</xdr:rowOff>
    </xdr:from>
    <xdr:ext cx="76200" cy="259996"/>
    <xdr:sp macro="" textlink="">
      <xdr:nvSpPr>
        <xdr:cNvPr id="161" name="Text Box 25">
          <a:extLst>
            <a:ext uri="{FF2B5EF4-FFF2-40B4-BE49-F238E27FC236}">
              <a16:creationId xmlns:a16="http://schemas.microsoft.com/office/drawing/2014/main" id="{453A5443-6B9C-4B4E-B5E5-04009FFCBB7B}"/>
            </a:ext>
          </a:extLst>
        </xdr:cNvPr>
        <xdr:cNvSpPr txBox="1">
          <a:spLocks noChangeArrowheads="1"/>
        </xdr:cNvSpPr>
      </xdr:nvSpPr>
      <xdr:spPr bwMode="auto">
        <a:xfrm>
          <a:off x="9753600" y="18470880"/>
          <a:ext cx="76200" cy="2599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103</xdr:row>
      <xdr:rowOff>0</xdr:rowOff>
    </xdr:from>
    <xdr:ext cx="76200" cy="259996"/>
    <xdr:sp macro="" textlink="">
      <xdr:nvSpPr>
        <xdr:cNvPr id="162" name="Text Box 26">
          <a:extLst>
            <a:ext uri="{FF2B5EF4-FFF2-40B4-BE49-F238E27FC236}">
              <a16:creationId xmlns:a16="http://schemas.microsoft.com/office/drawing/2014/main" id="{C2FCFD06-26D3-4816-9D0C-F48CECD9D39F}"/>
            </a:ext>
          </a:extLst>
        </xdr:cNvPr>
        <xdr:cNvSpPr txBox="1">
          <a:spLocks noChangeArrowheads="1"/>
        </xdr:cNvSpPr>
      </xdr:nvSpPr>
      <xdr:spPr bwMode="auto">
        <a:xfrm>
          <a:off x="9753600" y="18470880"/>
          <a:ext cx="76200" cy="2599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103</xdr:row>
      <xdr:rowOff>0</xdr:rowOff>
    </xdr:from>
    <xdr:ext cx="76200" cy="259996"/>
    <xdr:sp macro="" textlink="">
      <xdr:nvSpPr>
        <xdr:cNvPr id="163" name="Text Box 27">
          <a:extLst>
            <a:ext uri="{FF2B5EF4-FFF2-40B4-BE49-F238E27FC236}">
              <a16:creationId xmlns:a16="http://schemas.microsoft.com/office/drawing/2014/main" id="{8C60E444-96D0-44DF-A6FF-002FA64E5759}"/>
            </a:ext>
          </a:extLst>
        </xdr:cNvPr>
        <xdr:cNvSpPr txBox="1">
          <a:spLocks noChangeArrowheads="1"/>
        </xdr:cNvSpPr>
      </xdr:nvSpPr>
      <xdr:spPr bwMode="auto">
        <a:xfrm>
          <a:off x="9753600" y="18470880"/>
          <a:ext cx="76200" cy="2599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103</xdr:row>
      <xdr:rowOff>0</xdr:rowOff>
    </xdr:from>
    <xdr:ext cx="76200" cy="259996"/>
    <xdr:sp macro="" textlink="">
      <xdr:nvSpPr>
        <xdr:cNvPr id="164" name="Text Box 28">
          <a:extLst>
            <a:ext uri="{FF2B5EF4-FFF2-40B4-BE49-F238E27FC236}">
              <a16:creationId xmlns:a16="http://schemas.microsoft.com/office/drawing/2014/main" id="{19B5D21D-ECDF-4FFA-804C-9627A64058DF}"/>
            </a:ext>
          </a:extLst>
        </xdr:cNvPr>
        <xdr:cNvSpPr txBox="1">
          <a:spLocks noChangeArrowheads="1"/>
        </xdr:cNvSpPr>
      </xdr:nvSpPr>
      <xdr:spPr bwMode="auto">
        <a:xfrm>
          <a:off x="9753600" y="18470880"/>
          <a:ext cx="76200" cy="2599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108</xdr:row>
      <xdr:rowOff>0</xdr:rowOff>
    </xdr:from>
    <xdr:ext cx="76200" cy="242764"/>
    <xdr:sp macro="" textlink="">
      <xdr:nvSpPr>
        <xdr:cNvPr id="165" name="Text Box 25">
          <a:extLst>
            <a:ext uri="{FF2B5EF4-FFF2-40B4-BE49-F238E27FC236}">
              <a16:creationId xmlns:a16="http://schemas.microsoft.com/office/drawing/2014/main" id="{FC189B67-E650-4810-AEF4-A7E36AE5E44A}"/>
            </a:ext>
          </a:extLst>
        </xdr:cNvPr>
        <xdr:cNvSpPr txBox="1">
          <a:spLocks noChangeArrowheads="1"/>
        </xdr:cNvSpPr>
      </xdr:nvSpPr>
      <xdr:spPr bwMode="auto">
        <a:xfrm>
          <a:off x="9753600" y="19385280"/>
          <a:ext cx="76200" cy="2427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108</xdr:row>
      <xdr:rowOff>0</xdr:rowOff>
    </xdr:from>
    <xdr:ext cx="76200" cy="242764"/>
    <xdr:sp macro="" textlink="">
      <xdr:nvSpPr>
        <xdr:cNvPr id="166" name="Text Box 26">
          <a:extLst>
            <a:ext uri="{FF2B5EF4-FFF2-40B4-BE49-F238E27FC236}">
              <a16:creationId xmlns:a16="http://schemas.microsoft.com/office/drawing/2014/main" id="{5BDDE0E2-AB8B-42FC-99BB-472013C613EA}"/>
            </a:ext>
          </a:extLst>
        </xdr:cNvPr>
        <xdr:cNvSpPr txBox="1">
          <a:spLocks noChangeArrowheads="1"/>
        </xdr:cNvSpPr>
      </xdr:nvSpPr>
      <xdr:spPr bwMode="auto">
        <a:xfrm>
          <a:off x="9753600" y="19385280"/>
          <a:ext cx="76200" cy="2427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108</xdr:row>
      <xdr:rowOff>0</xdr:rowOff>
    </xdr:from>
    <xdr:ext cx="76200" cy="242764"/>
    <xdr:sp macro="" textlink="">
      <xdr:nvSpPr>
        <xdr:cNvPr id="167" name="Text Box 27">
          <a:extLst>
            <a:ext uri="{FF2B5EF4-FFF2-40B4-BE49-F238E27FC236}">
              <a16:creationId xmlns:a16="http://schemas.microsoft.com/office/drawing/2014/main" id="{12256564-D568-449B-AA8C-EB8B663D9167}"/>
            </a:ext>
          </a:extLst>
        </xdr:cNvPr>
        <xdr:cNvSpPr txBox="1">
          <a:spLocks noChangeArrowheads="1"/>
        </xdr:cNvSpPr>
      </xdr:nvSpPr>
      <xdr:spPr bwMode="auto">
        <a:xfrm>
          <a:off x="9753600" y="19385280"/>
          <a:ext cx="76200" cy="2427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108</xdr:row>
      <xdr:rowOff>0</xdr:rowOff>
    </xdr:from>
    <xdr:ext cx="76200" cy="242764"/>
    <xdr:sp macro="" textlink="">
      <xdr:nvSpPr>
        <xdr:cNvPr id="168" name="Text Box 28">
          <a:extLst>
            <a:ext uri="{FF2B5EF4-FFF2-40B4-BE49-F238E27FC236}">
              <a16:creationId xmlns:a16="http://schemas.microsoft.com/office/drawing/2014/main" id="{3138BB57-2338-4A58-AE42-BC6E33E49234}"/>
            </a:ext>
          </a:extLst>
        </xdr:cNvPr>
        <xdr:cNvSpPr txBox="1">
          <a:spLocks noChangeArrowheads="1"/>
        </xdr:cNvSpPr>
      </xdr:nvSpPr>
      <xdr:spPr bwMode="auto">
        <a:xfrm>
          <a:off x="9753600" y="19385280"/>
          <a:ext cx="76200" cy="2427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108</xdr:row>
      <xdr:rowOff>0</xdr:rowOff>
    </xdr:from>
    <xdr:ext cx="76200" cy="242765"/>
    <xdr:sp macro="" textlink="">
      <xdr:nvSpPr>
        <xdr:cNvPr id="169" name="Text Box 25">
          <a:extLst>
            <a:ext uri="{FF2B5EF4-FFF2-40B4-BE49-F238E27FC236}">
              <a16:creationId xmlns:a16="http://schemas.microsoft.com/office/drawing/2014/main" id="{6190B55B-5BE1-42F6-8B0C-5350C12A1E35}"/>
            </a:ext>
          </a:extLst>
        </xdr:cNvPr>
        <xdr:cNvSpPr txBox="1">
          <a:spLocks noChangeArrowheads="1"/>
        </xdr:cNvSpPr>
      </xdr:nvSpPr>
      <xdr:spPr bwMode="auto">
        <a:xfrm>
          <a:off x="9753600" y="19385280"/>
          <a:ext cx="76200" cy="2427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108</xdr:row>
      <xdr:rowOff>0</xdr:rowOff>
    </xdr:from>
    <xdr:ext cx="76200" cy="242765"/>
    <xdr:sp macro="" textlink="">
      <xdr:nvSpPr>
        <xdr:cNvPr id="170" name="Text Box 26">
          <a:extLst>
            <a:ext uri="{FF2B5EF4-FFF2-40B4-BE49-F238E27FC236}">
              <a16:creationId xmlns:a16="http://schemas.microsoft.com/office/drawing/2014/main" id="{3A027386-7BCF-450D-B707-20928D404E50}"/>
            </a:ext>
          </a:extLst>
        </xdr:cNvPr>
        <xdr:cNvSpPr txBox="1">
          <a:spLocks noChangeArrowheads="1"/>
        </xdr:cNvSpPr>
      </xdr:nvSpPr>
      <xdr:spPr bwMode="auto">
        <a:xfrm>
          <a:off x="9753600" y="19385280"/>
          <a:ext cx="76200" cy="2427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108</xdr:row>
      <xdr:rowOff>0</xdr:rowOff>
    </xdr:from>
    <xdr:ext cx="76200" cy="242765"/>
    <xdr:sp macro="" textlink="">
      <xdr:nvSpPr>
        <xdr:cNvPr id="171" name="Text Box 27">
          <a:extLst>
            <a:ext uri="{FF2B5EF4-FFF2-40B4-BE49-F238E27FC236}">
              <a16:creationId xmlns:a16="http://schemas.microsoft.com/office/drawing/2014/main" id="{6208681A-9AED-4503-ADB9-A4AF881D89BE}"/>
            </a:ext>
          </a:extLst>
        </xdr:cNvPr>
        <xdr:cNvSpPr txBox="1">
          <a:spLocks noChangeArrowheads="1"/>
        </xdr:cNvSpPr>
      </xdr:nvSpPr>
      <xdr:spPr bwMode="auto">
        <a:xfrm>
          <a:off x="9753600" y="19385280"/>
          <a:ext cx="76200" cy="2427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108</xdr:row>
      <xdr:rowOff>0</xdr:rowOff>
    </xdr:from>
    <xdr:ext cx="76200" cy="242765"/>
    <xdr:sp macro="" textlink="">
      <xdr:nvSpPr>
        <xdr:cNvPr id="172" name="Text Box 28">
          <a:extLst>
            <a:ext uri="{FF2B5EF4-FFF2-40B4-BE49-F238E27FC236}">
              <a16:creationId xmlns:a16="http://schemas.microsoft.com/office/drawing/2014/main" id="{4985AD3F-C069-4247-B4FA-6524EA6D3392}"/>
            </a:ext>
          </a:extLst>
        </xdr:cNvPr>
        <xdr:cNvSpPr txBox="1">
          <a:spLocks noChangeArrowheads="1"/>
        </xdr:cNvSpPr>
      </xdr:nvSpPr>
      <xdr:spPr bwMode="auto">
        <a:xfrm>
          <a:off x="9753600" y="19385280"/>
          <a:ext cx="76200" cy="2427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106</xdr:row>
      <xdr:rowOff>0</xdr:rowOff>
    </xdr:from>
    <xdr:ext cx="76200" cy="242762"/>
    <xdr:sp macro="" textlink="">
      <xdr:nvSpPr>
        <xdr:cNvPr id="173" name="Text Box 25">
          <a:extLst>
            <a:ext uri="{FF2B5EF4-FFF2-40B4-BE49-F238E27FC236}">
              <a16:creationId xmlns:a16="http://schemas.microsoft.com/office/drawing/2014/main" id="{303AEDB7-1503-46FD-A975-E6E4CA0C7050}"/>
            </a:ext>
          </a:extLst>
        </xdr:cNvPr>
        <xdr:cNvSpPr txBox="1">
          <a:spLocks noChangeArrowheads="1"/>
        </xdr:cNvSpPr>
      </xdr:nvSpPr>
      <xdr:spPr bwMode="auto">
        <a:xfrm>
          <a:off x="9753600" y="19019520"/>
          <a:ext cx="76200" cy="2427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106</xdr:row>
      <xdr:rowOff>0</xdr:rowOff>
    </xdr:from>
    <xdr:ext cx="76200" cy="242762"/>
    <xdr:sp macro="" textlink="">
      <xdr:nvSpPr>
        <xdr:cNvPr id="174" name="Text Box 26">
          <a:extLst>
            <a:ext uri="{FF2B5EF4-FFF2-40B4-BE49-F238E27FC236}">
              <a16:creationId xmlns:a16="http://schemas.microsoft.com/office/drawing/2014/main" id="{D56D45F8-10E9-4719-A613-93A807E6F4C8}"/>
            </a:ext>
          </a:extLst>
        </xdr:cNvPr>
        <xdr:cNvSpPr txBox="1">
          <a:spLocks noChangeArrowheads="1"/>
        </xdr:cNvSpPr>
      </xdr:nvSpPr>
      <xdr:spPr bwMode="auto">
        <a:xfrm>
          <a:off x="9753600" y="19019520"/>
          <a:ext cx="76200" cy="2427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106</xdr:row>
      <xdr:rowOff>0</xdr:rowOff>
    </xdr:from>
    <xdr:ext cx="76200" cy="242762"/>
    <xdr:sp macro="" textlink="">
      <xdr:nvSpPr>
        <xdr:cNvPr id="175" name="Text Box 27">
          <a:extLst>
            <a:ext uri="{FF2B5EF4-FFF2-40B4-BE49-F238E27FC236}">
              <a16:creationId xmlns:a16="http://schemas.microsoft.com/office/drawing/2014/main" id="{D816E33D-60D1-49B4-AF95-B2404CA2DBA1}"/>
            </a:ext>
          </a:extLst>
        </xdr:cNvPr>
        <xdr:cNvSpPr txBox="1">
          <a:spLocks noChangeArrowheads="1"/>
        </xdr:cNvSpPr>
      </xdr:nvSpPr>
      <xdr:spPr bwMode="auto">
        <a:xfrm>
          <a:off x="9753600" y="19019520"/>
          <a:ext cx="76200" cy="2427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106</xdr:row>
      <xdr:rowOff>0</xdr:rowOff>
    </xdr:from>
    <xdr:ext cx="76200" cy="242762"/>
    <xdr:sp macro="" textlink="">
      <xdr:nvSpPr>
        <xdr:cNvPr id="176" name="Text Box 28">
          <a:extLst>
            <a:ext uri="{FF2B5EF4-FFF2-40B4-BE49-F238E27FC236}">
              <a16:creationId xmlns:a16="http://schemas.microsoft.com/office/drawing/2014/main" id="{82F87EE0-7BF6-4B76-A16C-7B47EF659E40}"/>
            </a:ext>
          </a:extLst>
        </xdr:cNvPr>
        <xdr:cNvSpPr txBox="1">
          <a:spLocks noChangeArrowheads="1"/>
        </xdr:cNvSpPr>
      </xdr:nvSpPr>
      <xdr:spPr bwMode="auto">
        <a:xfrm>
          <a:off x="9753600" y="19019520"/>
          <a:ext cx="76200" cy="2427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108</xdr:row>
      <xdr:rowOff>0</xdr:rowOff>
    </xdr:from>
    <xdr:ext cx="76200" cy="277143"/>
    <xdr:sp macro="" textlink="">
      <xdr:nvSpPr>
        <xdr:cNvPr id="177" name="Text Box 25">
          <a:extLst>
            <a:ext uri="{FF2B5EF4-FFF2-40B4-BE49-F238E27FC236}">
              <a16:creationId xmlns:a16="http://schemas.microsoft.com/office/drawing/2014/main" id="{7AE3FE57-EA16-4AC7-8961-9D0EA07D9303}"/>
            </a:ext>
          </a:extLst>
        </xdr:cNvPr>
        <xdr:cNvSpPr txBox="1">
          <a:spLocks noChangeArrowheads="1"/>
        </xdr:cNvSpPr>
      </xdr:nvSpPr>
      <xdr:spPr bwMode="auto">
        <a:xfrm>
          <a:off x="9753600" y="19385280"/>
          <a:ext cx="76200" cy="27714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108</xdr:row>
      <xdr:rowOff>0</xdr:rowOff>
    </xdr:from>
    <xdr:ext cx="76200" cy="277143"/>
    <xdr:sp macro="" textlink="">
      <xdr:nvSpPr>
        <xdr:cNvPr id="178" name="Text Box 26">
          <a:extLst>
            <a:ext uri="{FF2B5EF4-FFF2-40B4-BE49-F238E27FC236}">
              <a16:creationId xmlns:a16="http://schemas.microsoft.com/office/drawing/2014/main" id="{C4FE7D50-11B7-45D1-80E8-65552C5C8228}"/>
            </a:ext>
          </a:extLst>
        </xdr:cNvPr>
        <xdr:cNvSpPr txBox="1">
          <a:spLocks noChangeArrowheads="1"/>
        </xdr:cNvSpPr>
      </xdr:nvSpPr>
      <xdr:spPr bwMode="auto">
        <a:xfrm>
          <a:off x="9753600" y="19385280"/>
          <a:ext cx="76200" cy="27714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108</xdr:row>
      <xdr:rowOff>0</xdr:rowOff>
    </xdr:from>
    <xdr:ext cx="76200" cy="277143"/>
    <xdr:sp macro="" textlink="">
      <xdr:nvSpPr>
        <xdr:cNvPr id="179" name="Text Box 27">
          <a:extLst>
            <a:ext uri="{FF2B5EF4-FFF2-40B4-BE49-F238E27FC236}">
              <a16:creationId xmlns:a16="http://schemas.microsoft.com/office/drawing/2014/main" id="{D68AFAE7-B755-4B75-AA7E-8E55AC359617}"/>
            </a:ext>
          </a:extLst>
        </xdr:cNvPr>
        <xdr:cNvSpPr txBox="1">
          <a:spLocks noChangeArrowheads="1"/>
        </xdr:cNvSpPr>
      </xdr:nvSpPr>
      <xdr:spPr bwMode="auto">
        <a:xfrm>
          <a:off x="9753600" y="19385280"/>
          <a:ext cx="76200" cy="27714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108</xdr:row>
      <xdr:rowOff>0</xdr:rowOff>
    </xdr:from>
    <xdr:ext cx="76200" cy="277143"/>
    <xdr:sp macro="" textlink="">
      <xdr:nvSpPr>
        <xdr:cNvPr id="180" name="Text Box 28">
          <a:extLst>
            <a:ext uri="{FF2B5EF4-FFF2-40B4-BE49-F238E27FC236}">
              <a16:creationId xmlns:a16="http://schemas.microsoft.com/office/drawing/2014/main" id="{3EA640AE-8D84-4DEB-87F3-051256DBB3D1}"/>
            </a:ext>
          </a:extLst>
        </xdr:cNvPr>
        <xdr:cNvSpPr txBox="1">
          <a:spLocks noChangeArrowheads="1"/>
        </xdr:cNvSpPr>
      </xdr:nvSpPr>
      <xdr:spPr bwMode="auto">
        <a:xfrm>
          <a:off x="9753600" y="19385280"/>
          <a:ext cx="76200" cy="27714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275449"/>
    <xdr:sp macro="" textlink="">
      <xdr:nvSpPr>
        <xdr:cNvPr id="181" name="Text Box 25">
          <a:extLst>
            <a:ext uri="{FF2B5EF4-FFF2-40B4-BE49-F238E27FC236}">
              <a16:creationId xmlns:a16="http://schemas.microsoft.com/office/drawing/2014/main" id="{DA097A58-B605-43E4-B367-72136CDE08E3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275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41406"/>
    <xdr:sp macro="" textlink="">
      <xdr:nvSpPr>
        <xdr:cNvPr id="182" name="Text Box 26">
          <a:extLst>
            <a:ext uri="{FF2B5EF4-FFF2-40B4-BE49-F238E27FC236}">
              <a16:creationId xmlns:a16="http://schemas.microsoft.com/office/drawing/2014/main" id="{74FAC8DD-BF39-479C-813C-E431044B4268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414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108</xdr:row>
      <xdr:rowOff>0</xdr:rowOff>
    </xdr:from>
    <xdr:ext cx="76200" cy="259998"/>
    <xdr:sp macro="" textlink="">
      <xdr:nvSpPr>
        <xdr:cNvPr id="183" name="Text Box 27">
          <a:extLst>
            <a:ext uri="{FF2B5EF4-FFF2-40B4-BE49-F238E27FC236}">
              <a16:creationId xmlns:a16="http://schemas.microsoft.com/office/drawing/2014/main" id="{B54D4332-FFAD-4EE7-B0DE-4DC60F8F5F2F}"/>
            </a:ext>
          </a:extLst>
        </xdr:cNvPr>
        <xdr:cNvSpPr txBox="1">
          <a:spLocks noChangeArrowheads="1"/>
        </xdr:cNvSpPr>
      </xdr:nvSpPr>
      <xdr:spPr bwMode="auto">
        <a:xfrm>
          <a:off x="9753600" y="19385280"/>
          <a:ext cx="76200" cy="25999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108</xdr:row>
      <xdr:rowOff>0</xdr:rowOff>
    </xdr:from>
    <xdr:ext cx="76200" cy="259998"/>
    <xdr:sp macro="" textlink="">
      <xdr:nvSpPr>
        <xdr:cNvPr id="184" name="Text Box 28">
          <a:extLst>
            <a:ext uri="{FF2B5EF4-FFF2-40B4-BE49-F238E27FC236}">
              <a16:creationId xmlns:a16="http://schemas.microsoft.com/office/drawing/2014/main" id="{1FF2F7B0-71D7-47F0-B183-1AFBDEFBBDE2}"/>
            </a:ext>
          </a:extLst>
        </xdr:cNvPr>
        <xdr:cNvSpPr txBox="1">
          <a:spLocks noChangeArrowheads="1"/>
        </xdr:cNvSpPr>
      </xdr:nvSpPr>
      <xdr:spPr bwMode="auto">
        <a:xfrm>
          <a:off x="9753600" y="19385280"/>
          <a:ext cx="76200" cy="25999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84</xdr:row>
      <xdr:rowOff>0</xdr:rowOff>
    </xdr:from>
    <xdr:ext cx="76200" cy="280860"/>
    <xdr:sp macro="" textlink="">
      <xdr:nvSpPr>
        <xdr:cNvPr id="185" name="Text Box 25">
          <a:extLst>
            <a:ext uri="{FF2B5EF4-FFF2-40B4-BE49-F238E27FC236}">
              <a16:creationId xmlns:a16="http://schemas.microsoft.com/office/drawing/2014/main" id="{FD00D745-4AEF-41D7-AD83-BF0E122B6201}"/>
            </a:ext>
          </a:extLst>
        </xdr:cNvPr>
        <xdr:cNvSpPr txBox="1">
          <a:spLocks noChangeArrowheads="1"/>
        </xdr:cNvSpPr>
      </xdr:nvSpPr>
      <xdr:spPr bwMode="auto">
        <a:xfrm>
          <a:off x="10363200" y="14996160"/>
          <a:ext cx="76200" cy="280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84</xdr:row>
      <xdr:rowOff>0</xdr:rowOff>
    </xdr:from>
    <xdr:ext cx="76200" cy="280860"/>
    <xdr:sp macro="" textlink="">
      <xdr:nvSpPr>
        <xdr:cNvPr id="186" name="Text Box 26">
          <a:extLst>
            <a:ext uri="{FF2B5EF4-FFF2-40B4-BE49-F238E27FC236}">
              <a16:creationId xmlns:a16="http://schemas.microsoft.com/office/drawing/2014/main" id="{8922B105-A3B6-457F-A366-364DA49E6994}"/>
            </a:ext>
          </a:extLst>
        </xdr:cNvPr>
        <xdr:cNvSpPr txBox="1">
          <a:spLocks noChangeArrowheads="1"/>
        </xdr:cNvSpPr>
      </xdr:nvSpPr>
      <xdr:spPr bwMode="auto">
        <a:xfrm>
          <a:off x="10363200" y="14996160"/>
          <a:ext cx="76200" cy="280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84</xdr:row>
      <xdr:rowOff>0</xdr:rowOff>
    </xdr:from>
    <xdr:ext cx="76200" cy="280860"/>
    <xdr:sp macro="" textlink="">
      <xdr:nvSpPr>
        <xdr:cNvPr id="187" name="Text Box 27">
          <a:extLst>
            <a:ext uri="{FF2B5EF4-FFF2-40B4-BE49-F238E27FC236}">
              <a16:creationId xmlns:a16="http://schemas.microsoft.com/office/drawing/2014/main" id="{01CFCAD0-AA93-408E-930E-B9CB8F6EEEBC}"/>
            </a:ext>
          </a:extLst>
        </xdr:cNvPr>
        <xdr:cNvSpPr txBox="1">
          <a:spLocks noChangeArrowheads="1"/>
        </xdr:cNvSpPr>
      </xdr:nvSpPr>
      <xdr:spPr bwMode="auto">
        <a:xfrm>
          <a:off x="10363200" y="14996160"/>
          <a:ext cx="76200" cy="280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84</xdr:row>
      <xdr:rowOff>0</xdr:rowOff>
    </xdr:from>
    <xdr:ext cx="76200" cy="280860"/>
    <xdr:sp macro="" textlink="">
      <xdr:nvSpPr>
        <xdr:cNvPr id="188" name="Text Box 28">
          <a:extLst>
            <a:ext uri="{FF2B5EF4-FFF2-40B4-BE49-F238E27FC236}">
              <a16:creationId xmlns:a16="http://schemas.microsoft.com/office/drawing/2014/main" id="{9148F5D7-4042-4751-BB91-D99B416189E3}"/>
            </a:ext>
          </a:extLst>
        </xdr:cNvPr>
        <xdr:cNvSpPr txBox="1">
          <a:spLocks noChangeArrowheads="1"/>
        </xdr:cNvSpPr>
      </xdr:nvSpPr>
      <xdr:spPr bwMode="auto">
        <a:xfrm>
          <a:off x="10363200" y="14996160"/>
          <a:ext cx="76200" cy="280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84</xdr:row>
      <xdr:rowOff>0</xdr:rowOff>
    </xdr:from>
    <xdr:ext cx="76200" cy="280861"/>
    <xdr:sp macro="" textlink="">
      <xdr:nvSpPr>
        <xdr:cNvPr id="189" name="Text Box 25">
          <a:extLst>
            <a:ext uri="{FF2B5EF4-FFF2-40B4-BE49-F238E27FC236}">
              <a16:creationId xmlns:a16="http://schemas.microsoft.com/office/drawing/2014/main" id="{04962EDD-CE8B-466E-BC56-46964337B0A3}"/>
            </a:ext>
          </a:extLst>
        </xdr:cNvPr>
        <xdr:cNvSpPr txBox="1">
          <a:spLocks noChangeArrowheads="1"/>
        </xdr:cNvSpPr>
      </xdr:nvSpPr>
      <xdr:spPr bwMode="auto">
        <a:xfrm>
          <a:off x="9753600" y="14996160"/>
          <a:ext cx="76200" cy="2808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84</xdr:row>
      <xdr:rowOff>0</xdr:rowOff>
    </xdr:from>
    <xdr:ext cx="76200" cy="280861"/>
    <xdr:sp macro="" textlink="">
      <xdr:nvSpPr>
        <xdr:cNvPr id="190" name="Text Box 26">
          <a:extLst>
            <a:ext uri="{FF2B5EF4-FFF2-40B4-BE49-F238E27FC236}">
              <a16:creationId xmlns:a16="http://schemas.microsoft.com/office/drawing/2014/main" id="{A9307E06-46FB-4FA8-AE6A-ADABFEA035C3}"/>
            </a:ext>
          </a:extLst>
        </xdr:cNvPr>
        <xdr:cNvSpPr txBox="1">
          <a:spLocks noChangeArrowheads="1"/>
        </xdr:cNvSpPr>
      </xdr:nvSpPr>
      <xdr:spPr bwMode="auto">
        <a:xfrm>
          <a:off x="9753600" y="14996160"/>
          <a:ext cx="76200" cy="2808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84</xdr:row>
      <xdr:rowOff>0</xdr:rowOff>
    </xdr:from>
    <xdr:ext cx="76200" cy="280861"/>
    <xdr:sp macro="" textlink="">
      <xdr:nvSpPr>
        <xdr:cNvPr id="191" name="Text Box 27">
          <a:extLst>
            <a:ext uri="{FF2B5EF4-FFF2-40B4-BE49-F238E27FC236}">
              <a16:creationId xmlns:a16="http://schemas.microsoft.com/office/drawing/2014/main" id="{8F6AEA16-86EB-45F9-A864-EEC8DF3247DE}"/>
            </a:ext>
          </a:extLst>
        </xdr:cNvPr>
        <xdr:cNvSpPr txBox="1">
          <a:spLocks noChangeArrowheads="1"/>
        </xdr:cNvSpPr>
      </xdr:nvSpPr>
      <xdr:spPr bwMode="auto">
        <a:xfrm>
          <a:off x="9753600" y="14996160"/>
          <a:ext cx="76200" cy="2808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84</xdr:row>
      <xdr:rowOff>0</xdr:rowOff>
    </xdr:from>
    <xdr:ext cx="76200" cy="280861"/>
    <xdr:sp macro="" textlink="">
      <xdr:nvSpPr>
        <xdr:cNvPr id="192" name="Text Box 28">
          <a:extLst>
            <a:ext uri="{FF2B5EF4-FFF2-40B4-BE49-F238E27FC236}">
              <a16:creationId xmlns:a16="http://schemas.microsoft.com/office/drawing/2014/main" id="{AFC9352D-5341-4BAC-86B2-17F7DD763643}"/>
            </a:ext>
          </a:extLst>
        </xdr:cNvPr>
        <xdr:cNvSpPr txBox="1">
          <a:spLocks noChangeArrowheads="1"/>
        </xdr:cNvSpPr>
      </xdr:nvSpPr>
      <xdr:spPr bwMode="auto">
        <a:xfrm>
          <a:off x="9753600" y="14996160"/>
          <a:ext cx="76200" cy="2808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84</xdr:row>
      <xdr:rowOff>0</xdr:rowOff>
    </xdr:from>
    <xdr:ext cx="76200" cy="242765"/>
    <xdr:sp macro="" textlink="">
      <xdr:nvSpPr>
        <xdr:cNvPr id="193" name="Text Box 25">
          <a:extLst>
            <a:ext uri="{FF2B5EF4-FFF2-40B4-BE49-F238E27FC236}">
              <a16:creationId xmlns:a16="http://schemas.microsoft.com/office/drawing/2014/main" id="{EA4DD37D-8CF5-4AF3-B28B-66FD7E281FC2}"/>
            </a:ext>
          </a:extLst>
        </xdr:cNvPr>
        <xdr:cNvSpPr txBox="1">
          <a:spLocks noChangeArrowheads="1"/>
        </xdr:cNvSpPr>
      </xdr:nvSpPr>
      <xdr:spPr bwMode="auto">
        <a:xfrm>
          <a:off x="9753600" y="14996160"/>
          <a:ext cx="76200" cy="2427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84</xdr:row>
      <xdr:rowOff>0</xdr:rowOff>
    </xdr:from>
    <xdr:ext cx="76200" cy="242765"/>
    <xdr:sp macro="" textlink="">
      <xdr:nvSpPr>
        <xdr:cNvPr id="194" name="Text Box 26">
          <a:extLst>
            <a:ext uri="{FF2B5EF4-FFF2-40B4-BE49-F238E27FC236}">
              <a16:creationId xmlns:a16="http://schemas.microsoft.com/office/drawing/2014/main" id="{2E07722B-8E32-49AC-8195-FF20AA56AC0C}"/>
            </a:ext>
          </a:extLst>
        </xdr:cNvPr>
        <xdr:cNvSpPr txBox="1">
          <a:spLocks noChangeArrowheads="1"/>
        </xdr:cNvSpPr>
      </xdr:nvSpPr>
      <xdr:spPr bwMode="auto">
        <a:xfrm>
          <a:off x="9753600" y="14996160"/>
          <a:ext cx="76200" cy="2427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84</xdr:row>
      <xdr:rowOff>0</xdr:rowOff>
    </xdr:from>
    <xdr:ext cx="76200" cy="242765"/>
    <xdr:sp macro="" textlink="">
      <xdr:nvSpPr>
        <xdr:cNvPr id="195" name="Text Box 27">
          <a:extLst>
            <a:ext uri="{FF2B5EF4-FFF2-40B4-BE49-F238E27FC236}">
              <a16:creationId xmlns:a16="http://schemas.microsoft.com/office/drawing/2014/main" id="{195AB180-7AA8-4EFC-A4C1-444F8C66E37B}"/>
            </a:ext>
          </a:extLst>
        </xdr:cNvPr>
        <xdr:cNvSpPr txBox="1">
          <a:spLocks noChangeArrowheads="1"/>
        </xdr:cNvSpPr>
      </xdr:nvSpPr>
      <xdr:spPr bwMode="auto">
        <a:xfrm>
          <a:off x="9753600" y="14996160"/>
          <a:ext cx="76200" cy="2427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84</xdr:row>
      <xdr:rowOff>0</xdr:rowOff>
    </xdr:from>
    <xdr:ext cx="76200" cy="242765"/>
    <xdr:sp macro="" textlink="">
      <xdr:nvSpPr>
        <xdr:cNvPr id="196" name="Text Box 28">
          <a:extLst>
            <a:ext uri="{FF2B5EF4-FFF2-40B4-BE49-F238E27FC236}">
              <a16:creationId xmlns:a16="http://schemas.microsoft.com/office/drawing/2014/main" id="{CFB2C9CC-0309-4AFD-A438-9305DC63FEDB}"/>
            </a:ext>
          </a:extLst>
        </xdr:cNvPr>
        <xdr:cNvSpPr txBox="1">
          <a:spLocks noChangeArrowheads="1"/>
        </xdr:cNvSpPr>
      </xdr:nvSpPr>
      <xdr:spPr bwMode="auto">
        <a:xfrm>
          <a:off x="9753600" y="14996160"/>
          <a:ext cx="76200" cy="2427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196215"/>
    <xdr:sp macro="" textlink="">
      <xdr:nvSpPr>
        <xdr:cNvPr id="197" name="Text Box 25">
          <a:extLst>
            <a:ext uri="{FF2B5EF4-FFF2-40B4-BE49-F238E27FC236}">
              <a16:creationId xmlns:a16="http://schemas.microsoft.com/office/drawing/2014/main" id="{419D1363-A06A-4B14-A529-24D0459CE283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196215"/>
    <xdr:sp macro="" textlink="">
      <xdr:nvSpPr>
        <xdr:cNvPr id="198" name="Text Box 26">
          <a:extLst>
            <a:ext uri="{FF2B5EF4-FFF2-40B4-BE49-F238E27FC236}">
              <a16:creationId xmlns:a16="http://schemas.microsoft.com/office/drawing/2014/main" id="{0E7C8A32-ED94-4BBB-80E0-5ADC08E7F63C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196215"/>
    <xdr:sp macro="" textlink="">
      <xdr:nvSpPr>
        <xdr:cNvPr id="199" name="Text Box 27">
          <a:extLst>
            <a:ext uri="{FF2B5EF4-FFF2-40B4-BE49-F238E27FC236}">
              <a16:creationId xmlns:a16="http://schemas.microsoft.com/office/drawing/2014/main" id="{B680A9FC-7EF4-4B4D-9771-54EDD2BCE2B1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196215"/>
    <xdr:sp macro="" textlink="">
      <xdr:nvSpPr>
        <xdr:cNvPr id="200" name="Text Box 28">
          <a:extLst>
            <a:ext uri="{FF2B5EF4-FFF2-40B4-BE49-F238E27FC236}">
              <a16:creationId xmlns:a16="http://schemas.microsoft.com/office/drawing/2014/main" id="{570A6806-7A96-490B-9AF0-6652106101E6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257173"/>
    <xdr:sp macro="" textlink="">
      <xdr:nvSpPr>
        <xdr:cNvPr id="201" name="Text Box 25">
          <a:extLst>
            <a:ext uri="{FF2B5EF4-FFF2-40B4-BE49-F238E27FC236}">
              <a16:creationId xmlns:a16="http://schemas.microsoft.com/office/drawing/2014/main" id="{8655FF46-B7E9-4CC3-800B-090E84B75A75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25717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257173"/>
    <xdr:sp macro="" textlink="">
      <xdr:nvSpPr>
        <xdr:cNvPr id="202" name="Text Box 26">
          <a:extLst>
            <a:ext uri="{FF2B5EF4-FFF2-40B4-BE49-F238E27FC236}">
              <a16:creationId xmlns:a16="http://schemas.microsoft.com/office/drawing/2014/main" id="{958E8050-F9B9-4AD8-94BB-06EBCA54C74C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25717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257173"/>
    <xdr:sp macro="" textlink="">
      <xdr:nvSpPr>
        <xdr:cNvPr id="203" name="Text Box 27">
          <a:extLst>
            <a:ext uri="{FF2B5EF4-FFF2-40B4-BE49-F238E27FC236}">
              <a16:creationId xmlns:a16="http://schemas.microsoft.com/office/drawing/2014/main" id="{8E7EDC39-920B-429D-A9D6-58892EF89C14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25717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257173"/>
    <xdr:sp macro="" textlink="">
      <xdr:nvSpPr>
        <xdr:cNvPr id="204" name="Text Box 28">
          <a:extLst>
            <a:ext uri="{FF2B5EF4-FFF2-40B4-BE49-F238E27FC236}">
              <a16:creationId xmlns:a16="http://schemas.microsoft.com/office/drawing/2014/main" id="{DFB2EF69-45DF-4CBD-B05D-E12153C7BA86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25717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84</xdr:row>
      <xdr:rowOff>0</xdr:rowOff>
    </xdr:from>
    <xdr:ext cx="76200" cy="259908"/>
    <xdr:sp macro="" textlink="">
      <xdr:nvSpPr>
        <xdr:cNvPr id="205" name="Text Box 25">
          <a:extLst>
            <a:ext uri="{FF2B5EF4-FFF2-40B4-BE49-F238E27FC236}">
              <a16:creationId xmlns:a16="http://schemas.microsoft.com/office/drawing/2014/main" id="{10C3E834-C968-4BC3-8AC3-9B3D2742CD46}"/>
            </a:ext>
          </a:extLst>
        </xdr:cNvPr>
        <xdr:cNvSpPr txBox="1">
          <a:spLocks noChangeArrowheads="1"/>
        </xdr:cNvSpPr>
      </xdr:nvSpPr>
      <xdr:spPr bwMode="auto">
        <a:xfrm>
          <a:off x="10363200" y="14996160"/>
          <a:ext cx="76200" cy="2599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84</xdr:row>
      <xdr:rowOff>0</xdr:rowOff>
    </xdr:from>
    <xdr:ext cx="76200" cy="259908"/>
    <xdr:sp macro="" textlink="">
      <xdr:nvSpPr>
        <xdr:cNvPr id="206" name="Text Box 26">
          <a:extLst>
            <a:ext uri="{FF2B5EF4-FFF2-40B4-BE49-F238E27FC236}">
              <a16:creationId xmlns:a16="http://schemas.microsoft.com/office/drawing/2014/main" id="{14052213-5490-4CD7-A955-8B0D62457F79}"/>
            </a:ext>
          </a:extLst>
        </xdr:cNvPr>
        <xdr:cNvSpPr txBox="1">
          <a:spLocks noChangeArrowheads="1"/>
        </xdr:cNvSpPr>
      </xdr:nvSpPr>
      <xdr:spPr bwMode="auto">
        <a:xfrm>
          <a:off x="10363200" y="14996160"/>
          <a:ext cx="76200" cy="2599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84</xdr:row>
      <xdr:rowOff>0</xdr:rowOff>
    </xdr:from>
    <xdr:ext cx="76200" cy="259908"/>
    <xdr:sp macro="" textlink="">
      <xdr:nvSpPr>
        <xdr:cNvPr id="207" name="Text Box 27">
          <a:extLst>
            <a:ext uri="{FF2B5EF4-FFF2-40B4-BE49-F238E27FC236}">
              <a16:creationId xmlns:a16="http://schemas.microsoft.com/office/drawing/2014/main" id="{123A27F7-6A85-4C2F-A3DF-0DB1108D006F}"/>
            </a:ext>
          </a:extLst>
        </xdr:cNvPr>
        <xdr:cNvSpPr txBox="1">
          <a:spLocks noChangeArrowheads="1"/>
        </xdr:cNvSpPr>
      </xdr:nvSpPr>
      <xdr:spPr bwMode="auto">
        <a:xfrm>
          <a:off x="10363200" y="14996160"/>
          <a:ext cx="76200" cy="2599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84</xdr:row>
      <xdr:rowOff>0</xdr:rowOff>
    </xdr:from>
    <xdr:ext cx="76200" cy="259908"/>
    <xdr:sp macro="" textlink="">
      <xdr:nvSpPr>
        <xdr:cNvPr id="208" name="Text Box 28">
          <a:extLst>
            <a:ext uri="{FF2B5EF4-FFF2-40B4-BE49-F238E27FC236}">
              <a16:creationId xmlns:a16="http://schemas.microsoft.com/office/drawing/2014/main" id="{E4F3C068-C8B6-42F9-B3FB-FBC3440E5C09}"/>
            </a:ext>
          </a:extLst>
        </xdr:cNvPr>
        <xdr:cNvSpPr txBox="1">
          <a:spLocks noChangeArrowheads="1"/>
        </xdr:cNvSpPr>
      </xdr:nvSpPr>
      <xdr:spPr bwMode="auto">
        <a:xfrm>
          <a:off x="10363200" y="14996160"/>
          <a:ext cx="76200" cy="2599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257176"/>
    <xdr:sp macro="" textlink="">
      <xdr:nvSpPr>
        <xdr:cNvPr id="209" name="Text Box 25">
          <a:extLst>
            <a:ext uri="{FF2B5EF4-FFF2-40B4-BE49-F238E27FC236}">
              <a16:creationId xmlns:a16="http://schemas.microsoft.com/office/drawing/2014/main" id="{C7633220-EF8E-4B75-81DE-4FE012579CA4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257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257176"/>
    <xdr:sp macro="" textlink="">
      <xdr:nvSpPr>
        <xdr:cNvPr id="210" name="Text Box 26">
          <a:extLst>
            <a:ext uri="{FF2B5EF4-FFF2-40B4-BE49-F238E27FC236}">
              <a16:creationId xmlns:a16="http://schemas.microsoft.com/office/drawing/2014/main" id="{BA8FC244-FC9D-434B-865F-23C6677A2D01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257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257176"/>
    <xdr:sp macro="" textlink="">
      <xdr:nvSpPr>
        <xdr:cNvPr id="211" name="Text Box 27">
          <a:extLst>
            <a:ext uri="{FF2B5EF4-FFF2-40B4-BE49-F238E27FC236}">
              <a16:creationId xmlns:a16="http://schemas.microsoft.com/office/drawing/2014/main" id="{42DE63A2-59BA-41D7-93D2-59F45ED52B2A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257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257176"/>
    <xdr:sp macro="" textlink="">
      <xdr:nvSpPr>
        <xdr:cNvPr id="212" name="Text Box 28">
          <a:extLst>
            <a:ext uri="{FF2B5EF4-FFF2-40B4-BE49-F238E27FC236}">
              <a16:creationId xmlns:a16="http://schemas.microsoft.com/office/drawing/2014/main" id="{B5FE69A7-8218-4183-AA8C-4C54F3E62CCD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257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257172"/>
    <xdr:sp macro="" textlink="">
      <xdr:nvSpPr>
        <xdr:cNvPr id="213" name="Text Box 25">
          <a:extLst>
            <a:ext uri="{FF2B5EF4-FFF2-40B4-BE49-F238E27FC236}">
              <a16:creationId xmlns:a16="http://schemas.microsoft.com/office/drawing/2014/main" id="{5BE8C102-12D1-4C6F-B411-9F2C7FE3D9A1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2571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257172"/>
    <xdr:sp macro="" textlink="">
      <xdr:nvSpPr>
        <xdr:cNvPr id="214" name="Text Box 26">
          <a:extLst>
            <a:ext uri="{FF2B5EF4-FFF2-40B4-BE49-F238E27FC236}">
              <a16:creationId xmlns:a16="http://schemas.microsoft.com/office/drawing/2014/main" id="{1CF7F5CC-FA4E-4164-A537-DD99FED93D1B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2571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257172"/>
    <xdr:sp macro="" textlink="">
      <xdr:nvSpPr>
        <xdr:cNvPr id="215" name="Text Box 27">
          <a:extLst>
            <a:ext uri="{FF2B5EF4-FFF2-40B4-BE49-F238E27FC236}">
              <a16:creationId xmlns:a16="http://schemas.microsoft.com/office/drawing/2014/main" id="{40715535-4978-4BC8-9C54-577DB7C41832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2571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257172"/>
    <xdr:sp macro="" textlink="">
      <xdr:nvSpPr>
        <xdr:cNvPr id="216" name="Text Box 28">
          <a:extLst>
            <a:ext uri="{FF2B5EF4-FFF2-40B4-BE49-F238E27FC236}">
              <a16:creationId xmlns:a16="http://schemas.microsoft.com/office/drawing/2014/main" id="{42E927D2-4841-4AEA-A3EA-4BF29D7D056F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2571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84</xdr:row>
      <xdr:rowOff>0</xdr:rowOff>
    </xdr:from>
    <xdr:ext cx="76200" cy="259909"/>
    <xdr:sp macro="" textlink="">
      <xdr:nvSpPr>
        <xdr:cNvPr id="217" name="Text Box 25">
          <a:extLst>
            <a:ext uri="{FF2B5EF4-FFF2-40B4-BE49-F238E27FC236}">
              <a16:creationId xmlns:a16="http://schemas.microsoft.com/office/drawing/2014/main" id="{C4C0EA77-5C0A-434F-BA67-8F012886D90D}"/>
            </a:ext>
          </a:extLst>
        </xdr:cNvPr>
        <xdr:cNvSpPr txBox="1">
          <a:spLocks noChangeArrowheads="1"/>
        </xdr:cNvSpPr>
      </xdr:nvSpPr>
      <xdr:spPr bwMode="auto">
        <a:xfrm>
          <a:off x="9753600" y="14996160"/>
          <a:ext cx="76200" cy="2599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84</xdr:row>
      <xdr:rowOff>0</xdr:rowOff>
    </xdr:from>
    <xdr:ext cx="76200" cy="259909"/>
    <xdr:sp macro="" textlink="">
      <xdr:nvSpPr>
        <xdr:cNvPr id="218" name="Text Box 26">
          <a:extLst>
            <a:ext uri="{FF2B5EF4-FFF2-40B4-BE49-F238E27FC236}">
              <a16:creationId xmlns:a16="http://schemas.microsoft.com/office/drawing/2014/main" id="{92074923-0F25-48C3-814B-7DB0E02B41EF}"/>
            </a:ext>
          </a:extLst>
        </xdr:cNvPr>
        <xdr:cNvSpPr txBox="1">
          <a:spLocks noChangeArrowheads="1"/>
        </xdr:cNvSpPr>
      </xdr:nvSpPr>
      <xdr:spPr bwMode="auto">
        <a:xfrm>
          <a:off x="9753600" y="14996160"/>
          <a:ext cx="76200" cy="2599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84</xdr:row>
      <xdr:rowOff>0</xdr:rowOff>
    </xdr:from>
    <xdr:ext cx="76200" cy="259909"/>
    <xdr:sp macro="" textlink="">
      <xdr:nvSpPr>
        <xdr:cNvPr id="219" name="Text Box 27">
          <a:extLst>
            <a:ext uri="{FF2B5EF4-FFF2-40B4-BE49-F238E27FC236}">
              <a16:creationId xmlns:a16="http://schemas.microsoft.com/office/drawing/2014/main" id="{2208F19F-DACF-4B74-937D-1225CCFAF050}"/>
            </a:ext>
          </a:extLst>
        </xdr:cNvPr>
        <xdr:cNvSpPr txBox="1">
          <a:spLocks noChangeArrowheads="1"/>
        </xdr:cNvSpPr>
      </xdr:nvSpPr>
      <xdr:spPr bwMode="auto">
        <a:xfrm>
          <a:off x="9753600" y="14996160"/>
          <a:ext cx="76200" cy="2599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84</xdr:row>
      <xdr:rowOff>0</xdr:rowOff>
    </xdr:from>
    <xdr:ext cx="76200" cy="259909"/>
    <xdr:sp macro="" textlink="">
      <xdr:nvSpPr>
        <xdr:cNvPr id="220" name="Text Box 28">
          <a:extLst>
            <a:ext uri="{FF2B5EF4-FFF2-40B4-BE49-F238E27FC236}">
              <a16:creationId xmlns:a16="http://schemas.microsoft.com/office/drawing/2014/main" id="{9E552693-1CF5-45D7-A3B2-0539326C0183}"/>
            </a:ext>
          </a:extLst>
        </xdr:cNvPr>
        <xdr:cNvSpPr txBox="1">
          <a:spLocks noChangeArrowheads="1"/>
        </xdr:cNvSpPr>
      </xdr:nvSpPr>
      <xdr:spPr bwMode="auto">
        <a:xfrm>
          <a:off x="9753600" y="14996160"/>
          <a:ext cx="76200" cy="2599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84</xdr:row>
      <xdr:rowOff>0</xdr:rowOff>
    </xdr:from>
    <xdr:ext cx="76200" cy="259907"/>
    <xdr:sp macro="" textlink="">
      <xdr:nvSpPr>
        <xdr:cNvPr id="221" name="Text Box 25">
          <a:extLst>
            <a:ext uri="{FF2B5EF4-FFF2-40B4-BE49-F238E27FC236}">
              <a16:creationId xmlns:a16="http://schemas.microsoft.com/office/drawing/2014/main" id="{D1362DA8-F203-477E-8CE7-65E9A0D00C5D}"/>
            </a:ext>
          </a:extLst>
        </xdr:cNvPr>
        <xdr:cNvSpPr txBox="1">
          <a:spLocks noChangeArrowheads="1"/>
        </xdr:cNvSpPr>
      </xdr:nvSpPr>
      <xdr:spPr bwMode="auto">
        <a:xfrm>
          <a:off x="10363200" y="14996160"/>
          <a:ext cx="76200" cy="2599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84</xdr:row>
      <xdr:rowOff>0</xdr:rowOff>
    </xdr:from>
    <xdr:ext cx="76200" cy="259907"/>
    <xdr:sp macro="" textlink="">
      <xdr:nvSpPr>
        <xdr:cNvPr id="222" name="Text Box 26">
          <a:extLst>
            <a:ext uri="{FF2B5EF4-FFF2-40B4-BE49-F238E27FC236}">
              <a16:creationId xmlns:a16="http://schemas.microsoft.com/office/drawing/2014/main" id="{F8AF7CCD-54C1-4960-975A-CDD8059FBAB9}"/>
            </a:ext>
          </a:extLst>
        </xdr:cNvPr>
        <xdr:cNvSpPr txBox="1">
          <a:spLocks noChangeArrowheads="1"/>
        </xdr:cNvSpPr>
      </xdr:nvSpPr>
      <xdr:spPr bwMode="auto">
        <a:xfrm>
          <a:off x="10363200" y="14996160"/>
          <a:ext cx="76200" cy="2599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84</xdr:row>
      <xdr:rowOff>0</xdr:rowOff>
    </xdr:from>
    <xdr:ext cx="76200" cy="259907"/>
    <xdr:sp macro="" textlink="">
      <xdr:nvSpPr>
        <xdr:cNvPr id="223" name="Text Box 27">
          <a:extLst>
            <a:ext uri="{FF2B5EF4-FFF2-40B4-BE49-F238E27FC236}">
              <a16:creationId xmlns:a16="http://schemas.microsoft.com/office/drawing/2014/main" id="{D08C7D29-0483-4633-A92A-FAC881581E4C}"/>
            </a:ext>
          </a:extLst>
        </xdr:cNvPr>
        <xdr:cNvSpPr txBox="1">
          <a:spLocks noChangeArrowheads="1"/>
        </xdr:cNvSpPr>
      </xdr:nvSpPr>
      <xdr:spPr bwMode="auto">
        <a:xfrm>
          <a:off x="10363200" y="14996160"/>
          <a:ext cx="76200" cy="2599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84</xdr:row>
      <xdr:rowOff>0</xdr:rowOff>
    </xdr:from>
    <xdr:ext cx="76200" cy="259907"/>
    <xdr:sp macro="" textlink="">
      <xdr:nvSpPr>
        <xdr:cNvPr id="224" name="Text Box 28">
          <a:extLst>
            <a:ext uri="{FF2B5EF4-FFF2-40B4-BE49-F238E27FC236}">
              <a16:creationId xmlns:a16="http://schemas.microsoft.com/office/drawing/2014/main" id="{F2818933-68BE-4010-BE11-E4D7EF02E2C4}"/>
            </a:ext>
          </a:extLst>
        </xdr:cNvPr>
        <xdr:cNvSpPr txBox="1">
          <a:spLocks noChangeArrowheads="1"/>
        </xdr:cNvSpPr>
      </xdr:nvSpPr>
      <xdr:spPr bwMode="auto">
        <a:xfrm>
          <a:off x="10363200" y="14996160"/>
          <a:ext cx="76200" cy="2599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112</xdr:row>
      <xdr:rowOff>0</xdr:rowOff>
    </xdr:from>
    <xdr:ext cx="76200" cy="238124"/>
    <xdr:sp macro="" textlink="">
      <xdr:nvSpPr>
        <xdr:cNvPr id="225" name="Text Box 25">
          <a:extLst>
            <a:ext uri="{FF2B5EF4-FFF2-40B4-BE49-F238E27FC236}">
              <a16:creationId xmlns:a16="http://schemas.microsoft.com/office/drawing/2014/main" id="{4791069C-4016-495B-83C6-35EE8AAD0658}"/>
            </a:ext>
          </a:extLst>
        </xdr:cNvPr>
        <xdr:cNvSpPr txBox="1">
          <a:spLocks noChangeArrowheads="1"/>
        </xdr:cNvSpPr>
      </xdr:nvSpPr>
      <xdr:spPr bwMode="auto">
        <a:xfrm>
          <a:off x="10363200" y="20116800"/>
          <a:ext cx="76200" cy="2381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112</xdr:row>
      <xdr:rowOff>0</xdr:rowOff>
    </xdr:from>
    <xdr:ext cx="76200" cy="238124"/>
    <xdr:sp macro="" textlink="">
      <xdr:nvSpPr>
        <xdr:cNvPr id="226" name="Text Box 26">
          <a:extLst>
            <a:ext uri="{FF2B5EF4-FFF2-40B4-BE49-F238E27FC236}">
              <a16:creationId xmlns:a16="http://schemas.microsoft.com/office/drawing/2014/main" id="{2035C3ED-3842-466C-8FC4-0470C6141271}"/>
            </a:ext>
          </a:extLst>
        </xdr:cNvPr>
        <xdr:cNvSpPr txBox="1">
          <a:spLocks noChangeArrowheads="1"/>
        </xdr:cNvSpPr>
      </xdr:nvSpPr>
      <xdr:spPr bwMode="auto">
        <a:xfrm>
          <a:off x="10363200" y="20116800"/>
          <a:ext cx="76200" cy="2381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112</xdr:row>
      <xdr:rowOff>0</xdr:rowOff>
    </xdr:from>
    <xdr:ext cx="76200" cy="238124"/>
    <xdr:sp macro="" textlink="">
      <xdr:nvSpPr>
        <xdr:cNvPr id="227" name="Text Box 27">
          <a:extLst>
            <a:ext uri="{FF2B5EF4-FFF2-40B4-BE49-F238E27FC236}">
              <a16:creationId xmlns:a16="http://schemas.microsoft.com/office/drawing/2014/main" id="{1FFE141A-074A-49D7-89A3-9135E65AC598}"/>
            </a:ext>
          </a:extLst>
        </xdr:cNvPr>
        <xdr:cNvSpPr txBox="1">
          <a:spLocks noChangeArrowheads="1"/>
        </xdr:cNvSpPr>
      </xdr:nvSpPr>
      <xdr:spPr bwMode="auto">
        <a:xfrm>
          <a:off x="10363200" y="20116800"/>
          <a:ext cx="76200" cy="2381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112</xdr:row>
      <xdr:rowOff>0</xdr:rowOff>
    </xdr:from>
    <xdr:ext cx="76200" cy="238124"/>
    <xdr:sp macro="" textlink="">
      <xdr:nvSpPr>
        <xdr:cNvPr id="228" name="Text Box 28">
          <a:extLst>
            <a:ext uri="{FF2B5EF4-FFF2-40B4-BE49-F238E27FC236}">
              <a16:creationId xmlns:a16="http://schemas.microsoft.com/office/drawing/2014/main" id="{6F5BFC64-645E-4972-83DE-0B84FED882D7}"/>
            </a:ext>
          </a:extLst>
        </xdr:cNvPr>
        <xdr:cNvSpPr txBox="1">
          <a:spLocks noChangeArrowheads="1"/>
        </xdr:cNvSpPr>
      </xdr:nvSpPr>
      <xdr:spPr bwMode="auto">
        <a:xfrm>
          <a:off x="10363200" y="20116800"/>
          <a:ext cx="76200" cy="2381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112</xdr:row>
      <xdr:rowOff>0</xdr:rowOff>
    </xdr:from>
    <xdr:ext cx="76200" cy="238124"/>
    <xdr:sp macro="" textlink="">
      <xdr:nvSpPr>
        <xdr:cNvPr id="229" name="Text Box 25">
          <a:extLst>
            <a:ext uri="{FF2B5EF4-FFF2-40B4-BE49-F238E27FC236}">
              <a16:creationId xmlns:a16="http://schemas.microsoft.com/office/drawing/2014/main" id="{350971F5-B4EB-4E33-A133-6743AE46C639}"/>
            </a:ext>
          </a:extLst>
        </xdr:cNvPr>
        <xdr:cNvSpPr txBox="1">
          <a:spLocks noChangeArrowheads="1"/>
        </xdr:cNvSpPr>
      </xdr:nvSpPr>
      <xdr:spPr bwMode="auto">
        <a:xfrm>
          <a:off x="10363200" y="20116800"/>
          <a:ext cx="76200" cy="2381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112</xdr:row>
      <xdr:rowOff>0</xdr:rowOff>
    </xdr:from>
    <xdr:ext cx="76200" cy="238124"/>
    <xdr:sp macro="" textlink="">
      <xdr:nvSpPr>
        <xdr:cNvPr id="230" name="Text Box 26">
          <a:extLst>
            <a:ext uri="{FF2B5EF4-FFF2-40B4-BE49-F238E27FC236}">
              <a16:creationId xmlns:a16="http://schemas.microsoft.com/office/drawing/2014/main" id="{49F498D5-E5A9-43D4-B336-85FA8A734B6A}"/>
            </a:ext>
          </a:extLst>
        </xdr:cNvPr>
        <xdr:cNvSpPr txBox="1">
          <a:spLocks noChangeArrowheads="1"/>
        </xdr:cNvSpPr>
      </xdr:nvSpPr>
      <xdr:spPr bwMode="auto">
        <a:xfrm>
          <a:off x="10363200" y="20116800"/>
          <a:ext cx="76200" cy="2381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112</xdr:row>
      <xdr:rowOff>0</xdr:rowOff>
    </xdr:from>
    <xdr:ext cx="76200" cy="238124"/>
    <xdr:sp macro="" textlink="">
      <xdr:nvSpPr>
        <xdr:cNvPr id="231" name="Text Box 27">
          <a:extLst>
            <a:ext uri="{FF2B5EF4-FFF2-40B4-BE49-F238E27FC236}">
              <a16:creationId xmlns:a16="http://schemas.microsoft.com/office/drawing/2014/main" id="{31996DD6-4F8E-4175-92F6-740B64A6D784}"/>
            </a:ext>
          </a:extLst>
        </xdr:cNvPr>
        <xdr:cNvSpPr txBox="1">
          <a:spLocks noChangeArrowheads="1"/>
        </xdr:cNvSpPr>
      </xdr:nvSpPr>
      <xdr:spPr bwMode="auto">
        <a:xfrm>
          <a:off x="10363200" y="20116800"/>
          <a:ext cx="76200" cy="2381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112</xdr:row>
      <xdr:rowOff>0</xdr:rowOff>
    </xdr:from>
    <xdr:ext cx="76200" cy="238124"/>
    <xdr:sp macro="" textlink="">
      <xdr:nvSpPr>
        <xdr:cNvPr id="232" name="Text Box 28">
          <a:extLst>
            <a:ext uri="{FF2B5EF4-FFF2-40B4-BE49-F238E27FC236}">
              <a16:creationId xmlns:a16="http://schemas.microsoft.com/office/drawing/2014/main" id="{1D9C7D9E-BCD8-49EE-B531-390B9E1E8D55}"/>
            </a:ext>
          </a:extLst>
        </xdr:cNvPr>
        <xdr:cNvSpPr txBox="1">
          <a:spLocks noChangeArrowheads="1"/>
        </xdr:cNvSpPr>
      </xdr:nvSpPr>
      <xdr:spPr bwMode="auto">
        <a:xfrm>
          <a:off x="10363200" y="20116800"/>
          <a:ext cx="76200" cy="2381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86</xdr:row>
      <xdr:rowOff>0</xdr:rowOff>
    </xdr:from>
    <xdr:ext cx="76200" cy="259911"/>
    <xdr:sp macro="" textlink="">
      <xdr:nvSpPr>
        <xdr:cNvPr id="233" name="Text Box 25">
          <a:extLst>
            <a:ext uri="{FF2B5EF4-FFF2-40B4-BE49-F238E27FC236}">
              <a16:creationId xmlns:a16="http://schemas.microsoft.com/office/drawing/2014/main" id="{ACBF97B2-CD29-4C3C-8D2C-99D2ACF5471C}"/>
            </a:ext>
          </a:extLst>
        </xdr:cNvPr>
        <xdr:cNvSpPr txBox="1">
          <a:spLocks noChangeArrowheads="1"/>
        </xdr:cNvSpPr>
      </xdr:nvSpPr>
      <xdr:spPr bwMode="auto">
        <a:xfrm>
          <a:off x="10363200" y="15361920"/>
          <a:ext cx="76200" cy="2599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86</xdr:row>
      <xdr:rowOff>0</xdr:rowOff>
    </xdr:from>
    <xdr:ext cx="76200" cy="259911"/>
    <xdr:sp macro="" textlink="">
      <xdr:nvSpPr>
        <xdr:cNvPr id="234" name="Text Box 26">
          <a:extLst>
            <a:ext uri="{FF2B5EF4-FFF2-40B4-BE49-F238E27FC236}">
              <a16:creationId xmlns:a16="http://schemas.microsoft.com/office/drawing/2014/main" id="{231C4EFA-7374-42BE-96AF-5E43D49A5BB9}"/>
            </a:ext>
          </a:extLst>
        </xdr:cNvPr>
        <xdr:cNvSpPr txBox="1">
          <a:spLocks noChangeArrowheads="1"/>
        </xdr:cNvSpPr>
      </xdr:nvSpPr>
      <xdr:spPr bwMode="auto">
        <a:xfrm>
          <a:off x="10363200" y="15361920"/>
          <a:ext cx="76200" cy="2599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86</xdr:row>
      <xdr:rowOff>0</xdr:rowOff>
    </xdr:from>
    <xdr:ext cx="76200" cy="259911"/>
    <xdr:sp macro="" textlink="">
      <xdr:nvSpPr>
        <xdr:cNvPr id="235" name="Text Box 27">
          <a:extLst>
            <a:ext uri="{FF2B5EF4-FFF2-40B4-BE49-F238E27FC236}">
              <a16:creationId xmlns:a16="http://schemas.microsoft.com/office/drawing/2014/main" id="{EEF3734F-8039-46C9-8894-F4AF36FBCE17}"/>
            </a:ext>
          </a:extLst>
        </xdr:cNvPr>
        <xdr:cNvSpPr txBox="1">
          <a:spLocks noChangeArrowheads="1"/>
        </xdr:cNvSpPr>
      </xdr:nvSpPr>
      <xdr:spPr bwMode="auto">
        <a:xfrm>
          <a:off x="10363200" y="15361920"/>
          <a:ext cx="76200" cy="2599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86</xdr:row>
      <xdr:rowOff>0</xdr:rowOff>
    </xdr:from>
    <xdr:ext cx="76200" cy="259911"/>
    <xdr:sp macro="" textlink="">
      <xdr:nvSpPr>
        <xdr:cNvPr id="236" name="Text Box 28">
          <a:extLst>
            <a:ext uri="{FF2B5EF4-FFF2-40B4-BE49-F238E27FC236}">
              <a16:creationId xmlns:a16="http://schemas.microsoft.com/office/drawing/2014/main" id="{AFAED912-7645-4C0F-BE85-82559C655714}"/>
            </a:ext>
          </a:extLst>
        </xdr:cNvPr>
        <xdr:cNvSpPr txBox="1">
          <a:spLocks noChangeArrowheads="1"/>
        </xdr:cNvSpPr>
      </xdr:nvSpPr>
      <xdr:spPr bwMode="auto">
        <a:xfrm>
          <a:off x="10363200" y="15361920"/>
          <a:ext cx="76200" cy="2599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97</xdr:row>
      <xdr:rowOff>0</xdr:rowOff>
    </xdr:from>
    <xdr:ext cx="76200" cy="259907"/>
    <xdr:sp macro="" textlink="">
      <xdr:nvSpPr>
        <xdr:cNvPr id="237" name="Text Box 25">
          <a:extLst>
            <a:ext uri="{FF2B5EF4-FFF2-40B4-BE49-F238E27FC236}">
              <a16:creationId xmlns:a16="http://schemas.microsoft.com/office/drawing/2014/main" id="{ED6EA259-08E1-408C-9C86-F25134026475}"/>
            </a:ext>
          </a:extLst>
        </xdr:cNvPr>
        <xdr:cNvSpPr txBox="1">
          <a:spLocks noChangeArrowheads="1"/>
        </xdr:cNvSpPr>
      </xdr:nvSpPr>
      <xdr:spPr bwMode="auto">
        <a:xfrm>
          <a:off x="9753600" y="17373600"/>
          <a:ext cx="76200" cy="2599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97</xdr:row>
      <xdr:rowOff>0</xdr:rowOff>
    </xdr:from>
    <xdr:ext cx="76200" cy="259907"/>
    <xdr:sp macro="" textlink="">
      <xdr:nvSpPr>
        <xdr:cNvPr id="238" name="Text Box 26">
          <a:extLst>
            <a:ext uri="{FF2B5EF4-FFF2-40B4-BE49-F238E27FC236}">
              <a16:creationId xmlns:a16="http://schemas.microsoft.com/office/drawing/2014/main" id="{2ADFAC02-A106-46F6-83A5-642C371B2B48}"/>
            </a:ext>
          </a:extLst>
        </xdr:cNvPr>
        <xdr:cNvSpPr txBox="1">
          <a:spLocks noChangeArrowheads="1"/>
        </xdr:cNvSpPr>
      </xdr:nvSpPr>
      <xdr:spPr bwMode="auto">
        <a:xfrm>
          <a:off x="9753600" y="17373600"/>
          <a:ext cx="76200" cy="2599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97</xdr:row>
      <xdr:rowOff>0</xdr:rowOff>
    </xdr:from>
    <xdr:ext cx="76200" cy="259907"/>
    <xdr:sp macro="" textlink="">
      <xdr:nvSpPr>
        <xdr:cNvPr id="239" name="Text Box 27">
          <a:extLst>
            <a:ext uri="{FF2B5EF4-FFF2-40B4-BE49-F238E27FC236}">
              <a16:creationId xmlns:a16="http://schemas.microsoft.com/office/drawing/2014/main" id="{61F9E0B7-4604-420D-97C1-1F713AC34247}"/>
            </a:ext>
          </a:extLst>
        </xdr:cNvPr>
        <xdr:cNvSpPr txBox="1">
          <a:spLocks noChangeArrowheads="1"/>
        </xdr:cNvSpPr>
      </xdr:nvSpPr>
      <xdr:spPr bwMode="auto">
        <a:xfrm>
          <a:off x="9753600" y="17373600"/>
          <a:ext cx="76200" cy="2599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97</xdr:row>
      <xdr:rowOff>0</xdr:rowOff>
    </xdr:from>
    <xdr:ext cx="76200" cy="259907"/>
    <xdr:sp macro="" textlink="">
      <xdr:nvSpPr>
        <xdr:cNvPr id="240" name="Text Box 28">
          <a:extLst>
            <a:ext uri="{FF2B5EF4-FFF2-40B4-BE49-F238E27FC236}">
              <a16:creationId xmlns:a16="http://schemas.microsoft.com/office/drawing/2014/main" id="{90DBED03-5CB1-4ECC-862B-9EA63CCCBED8}"/>
            </a:ext>
          </a:extLst>
        </xdr:cNvPr>
        <xdr:cNvSpPr txBox="1">
          <a:spLocks noChangeArrowheads="1"/>
        </xdr:cNvSpPr>
      </xdr:nvSpPr>
      <xdr:spPr bwMode="auto">
        <a:xfrm>
          <a:off x="9753600" y="17373600"/>
          <a:ext cx="76200" cy="2599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102</xdr:row>
      <xdr:rowOff>0</xdr:rowOff>
    </xdr:from>
    <xdr:ext cx="76200" cy="296193"/>
    <xdr:sp macro="" textlink="">
      <xdr:nvSpPr>
        <xdr:cNvPr id="241" name="Text Box 25">
          <a:extLst>
            <a:ext uri="{FF2B5EF4-FFF2-40B4-BE49-F238E27FC236}">
              <a16:creationId xmlns:a16="http://schemas.microsoft.com/office/drawing/2014/main" id="{A5E53F3D-9B29-4FDB-A69B-76AF79CE34A4}"/>
            </a:ext>
          </a:extLst>
        </xdr:cNvPr>
        <xdr:cNvSpPr txBox="1">
          <a:spLocks noChangeArrowheads="1"/>
        </xdr:cNvSpPr>
      </xdr:nvSpPr>
      <xdr:spPr bwMode="auto">
        <a:xfrm>
          <a:off x="9753600" y="18288000"/>
          <a:ext cx="76200" cy="2961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102</xdr:row>
      <xdr:rowOff>0</xdr:rowOff>
    </xdr:from>
    <xdr:ext cx="76200" cy="296193"/>
    <xdr:sp macro="" textlink="">
      <xdr:nvSpPr>
        <xdr:cNvPr id="242" name="Text Box 26">
          <a:extLst>
            <a:ext uri="{FF2B5EF4-FFF2-40B4-BE49-F238E27FC236}">
              <a16:creationId xmlns:a16="http://schemas.microsoft.com/office/drawing/2014/main" id="{DE571C79-6A54-413D-AC43-F6FA7464F94F}"/>
            </a:ext>
          </a:extLst>
        </xdr:cNvPr>
        <xdr:cNvSpPr txBox="1">
          <a:spLocks noChangeArrowheads="1"/>
        </xdr:cNvSpPr>
      </xdr:nvSpPr>
      <xdr:spPr bwMode="auto">
        <a:xfrm>
          <a:off x="9753600" y="18288000"/>
          <a:ext cx="76200" cy="2961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102</xdr:row>
      <xdr:rowOff>0</xdr:rowOff>
    </xdr:from>
    <xdr:ext cx="76200" cy="296193"/>
    <xdr:sp macro="" textlink="">
      <xdr:nvSpPr>
        <xdr:cNvPr id="243" name="Text Box 27">
          <a:extLst>
            <a:ext uri="{FF2B5EF4-FFF2-40B4-BE49-F238E27FC236}">
              <a16:creationId xmlns:a16="http://schemas.microsoft.com/office/drawing/2014/main" id="{A675C009-2829-4BD4-BB97-148D3EA5BB07}"/>
            </a:ext>
          </a:extLst>
        </xdr:cNvPr>
        <xdr:cNvSpPr txBox="1">
          <a:spLocks noChangeArrowheads="1"/>
        </xdr:cNvSpPr>
      </xdr:nvSpPr>
      <xdr:spPr bwMode="auto">
        <a:xfrm>
          <a:off x="9753600" y="18288000"/>
          <a:ext cx="76200" cy="2961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102</xdr:row>
      <xdr:rowOff>0</xdr:rowOff>
    </xdr:from>
    <xdr:ext cx="76200" cy="296193"/>
    <xdr:sp macro="" textlink="">
      <xdr:nvSpPr>
        <xdr:cNvPr id="244" name="Text Box 28">
          <a:extLst>
            <a:ext uri="{FF2B5EF4-FFF2-40B4-BE49-F238E27FC236}">
              <a16:creationId xmlns:a16="http://schemas.microsoft.com/office/drawing/2014/main" id="{E596A017-05DC-451D-AC31-F61CFBE31807}"/>
            </a:ext>
          </a:extLst>
        </xdr:cNvPr>
        <xdr:cNvSpPr txBox="1">
          <a:spLocks noChangeArrowheads="1"/>
        </xdr:cNvSpPr>
      </xdr:nvSpPr>
      <xdr:spPr bwMode="auto">
        <a:xfrm>
          <a:off x="9753600" y="18288000"/>
          <a:ext cx="76200" cy="2961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102</xdr:row>
      <xdr:rowOff>0</xdr:rowOff>
    </xdr:from>
    <xdr:ext cx="76200" cy="279048"/>
    <xdr:sp macro="" textlink="">
      <xdr:nvSpPr>
        <xdr:cNvPr id="245" name="Text Box 25">
          <a:extLst>
            <a:ext uri="{FF2B5EF4-FFF2-40B4-BE49-F238E27FC236}">
              <a16:creationId xmlns:a16="http://schemas.microsoft.com/office/drawing/2014/main" id="{5FD50397-A3F1-4BA4-8472-CD5440DC580A}"/>
            </a:ext>
          </a:extLst>
        </xdr:cNvPr>
        <xdr:cNvSpPr txBox="1">
          <a:spLocks noChangeArrowheads="1"/>
        </xdr:cNvSpPr>
      </xdr:nvSpPr>
      <xdr:spPr bwMode="auto">
        <a:xfrm>
          <a:off x="9753600" y="18288000"/>
          <a:ext cx="76200" cy="2790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102</xdr:row>
      <xdr:rowOff>0</xdr:rowOff>
    </xdr:from>
    <xdr:ext cx="76200" cy="279048"/>
    <xdr:sp macro="" textlink="">
      <xdr:nvSpPr>
        <xdr:cNvPr id="246" name="Text Box 26">
          <a:extLst>
            <a:ext uri="{FF2B5EF4-FFF2-40B4-BE49-F238E27FC236}">
              <a16:creationId xmlns:a16="http://schemas.microsoft.com/office/drawing/2014/main" id="{43712DED-AA84-48E8-BAF7-4EEB347FE0A1}"/>
            </a:ext>
          </a:extLst>
        </xdr:cNvPr>
        <xdr:cNvSpPr txBox="1">
          <a:spLocks noChangeArrowheads="1"/>
        </xdr:cNvSpPr>
      </xdr:nvSpPr>
      <xdr:spPr bwMode="auto">
        <a:xfrm>
          <a:off x="9753600" y="18288000"/>
          <a:ext cx="76200" cy="2790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102</xdr:row>
      <xdr:rowOff>0</xdr:rowOff>
    </xdr:from>
    <xdr:ext cx="76200" cy="279048"/>
    <xdr:sp macro="" textlink="">
      <xdr:nvSpPr>
        <xdr:cNvPr id="247" name="Text Box 27">
          <a:extLst>
            <a:ext uri="{FF2B5EF4-FFF2-40B4-BE49-F238E27FC236}">
              <a16:creationId xmlns:a16="http://schemas.microsoft.com/office/drawing/2014/main" id="{D2496495-94DE-40EC-BE28-D456E6B327B7}"/>
            </a:ext>
          </a:extLst>
        </xdr:cNvPr>
        <xdr:cNvSpPr txBox="1">
          <a:spLocks noChangeArrowheads="1"/>
        </xdr:cNvSpPr>
      </xdr:nvSpPr>
      <xdr:spPr bwMode="auto">
        <a:xfrm>
          <a:off x="9753600" y="18288000"/>
          <a:ext cx="76200" cy="2790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102</xdr:row>
      <xdr:rowOff>0</xdr:rowOff>
    </xdr:from>
    <xdr:ext cx="76200" cy="279048"/>
    <xdr:sp macro="" textlink="">
      <xdr:nvSpPr>
        <xdr:cNvPr id="248" name="Text Box 28">
          <a:extLst>
            <a:ext uri="{FF2B5EF4-FFF2-40B4-BE49-F238E27FC236}">
              <a16:creationId xmlns:a16="http://schemas.microsoft.com/office/drawing/2014/main" id="{ED8FD4D5-4430-44BA-AD8F-FBE0DF6A1FC2}"/>
            </a:ext>
          </a:extLst>
        </xdr:cNvPr>
        <xdr:cNvSpPr txBox="1">
          <a:spLocks noChangeArrowheads="1"/>
        </xdr:cNvSpPr>
      </xdr:nvSpPr>
      <xdr:spPr bwMode="auto">
        <a:xfrm>
          <a:off x="9753600" y="18288000"/>
          <a:ext cx="76200" cy="2790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262888"/>
    <xdr:sp macro="" textlink="">
      <xdr:nvSpPr>
        <xdr:cNvPr id="249" name="Text Box 25">
          <a:extLst>
            <a:ext uri="{FF2B5EF4-FFF2-40B4-BE49-F238E27FC236}">
              <a16:creationId xmlns:a16="http://schemas.microsoft.com/office/drawing/2014/main" id="{D61884E4-B674-42BB-83D6-3476F75AE884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2628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262888"/>
    <xdr:sp macro="" textlink="">
      <xdr:nvSpPr>
        <xdr:cNvPr id="250" name="Text Box 26">
          <a:extLst>
            <a:ext uri="{FF2B5EF4-FFF2-40B4-BE49-F238E27FC236}">
              <a16:creationId xmlns:a16="http://schemas.microsoft.com/office/drawing/2014/main" id="{C1147332-A256-47D8-B2A0-171DD1598C1F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2628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262888"/>
    <xdr:sp macro="" textlink="">
      <xdr:nvSpPr>
        <xdr:cNvPr id="251" name="Text Box 27">
          <a:extLst>
            <a:ext uri="{FF2B5EF4-FFF2-40B4-BE49-F238E27FC236}">
              <a16:creationId xmlns:a16="http://schemas.microsoft.com/office/drawing/2014/main" id="{E0C57B0A-8525-4E10-8EA5-D0187A95F8ED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2628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262888"/>
    <xdr:sp macro="" textlink="">
      <xdr:nvSpPr>
        <xdr:cNvPr id="252" name="Text Box 28">
          <a:extLst>
            <a:ext uri="{FF2B5EF4-FFF2-40B4-BE49-F238E27FC236}">
              <a16:creationId xmlns:a16="http://schemas.microsoft.com/office/drawing/2014/main" id="{2148A6E2-B78B-4065-A86F-6121B9E6A0D4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2628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257173"/>
    <xdr:sp macro="" textlink="">
      <xdr:nvSpPr>
        <xdr:cNvPr id="253" name="Text Box 25">
          <a:extLst>
            <a:ext uri="{FF2B5EF4-FFF2-40B4-BE49-F238E27FC236}">
              <a16:creationId xmlns:a16="http://schemas.microsoft.com/office/drawing/2014/main" id="{7ED00E18-6715-4A61-8109-AEC0866B4802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25717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257173"/>
    <xdr:sp macro="" textlink="">
      <xdr:nvSpPr>
        <xdr:cNvPr id="254" name="Text Box 26">
          <a:extLst>
            <a:ext uri="{FF2B5EF4-FFF2-40B4-BE49-F238E27FC236}">
              <a16:creationId xmlns:a16="http://schemas.microsoft.com/office/drawing/2014/main" id="{152B2E65-F5CA-48CC-81CC-B2C15CA4CA2C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25717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257173"/>
    <xdr:sp macro="" textlink="">
      <xdr:nvSpPr>
        <xdr:cNvPr id="255" name="Text Box 27">
          <a:extLst>
            <a:ext uri="{FF2B5EF4-FFF2-40B4-BE49-F238E27FC236}">
              <a16:creationId xmlns:a16="http://schemas.microsoft.com/office/drawing/2014/main" id="{E3C17166-E15C-46B3-A003-D69A95CF2267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25717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257173"/>
    <xdr:sp macro="" textlink="">
      <xdr:nvSpPr>
        <xdr:cNvPr id="256" name="Text Box 28">
          <a:extLst>
            <a:ext uri="{FF2B5EF4-FFF2-40B4-BE49-F238E27FC236}">
              <a16:creationId xmlns:a16="http://schemas.microsoft.com/office/drawing/2014/main" id="{BFF2CB0B-6A3F-4D7F-8FCE-FA245832B8E5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25717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274320"/>
    <xdr:sp macro="" textlink="">
      <xdr:nvSpPr>
        <xdr:cNvPr id="257" name="Text Box 25">
          <a:extLst>
            <a:ext uri="{FF2B5EF4-FFF2-40B4-BE49-F238E27FC236}">
              <a16:creationId xmlns:a16="http://schemas.microsoft.com/office/drawing/2014/main" id="{A0740698-5BB9-41D1-A1FB-7BF1A7787D2B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2743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274320"/>
    <xdr:sp macro="" textlink="">
      <xdr:nvSpPr>
        <xdr:cNvPr id="258" name="Text Box 26">
          <a:extLst>
            <a:ext uri="{FF2B5EF4-FFF2-40B4-BE49-F238E27FC236}">
              <a16:creationId xmlns:a16="http://schemas.microsoft.com/office/drawing/2014/main" id="{E7AACAF8-9C5C-4A2F-ADB1-BDECF4DEC07C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2743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274320"/>
    <xdr:sp macro="" textlink="">
      <xdr:nvSpPr>
        <xdr:cNvPr id="259" name="Text Box 27">
          <a:extLst>
            <a:ext uri="{FF2B5EF4-FFF2-40B4-BE49-F238E27FC236}">
              <a16:creationId xmlns:a16="http://schemas.microsoft.com/office/drawing/2014/main" id="{FB84A025-F70B-4BB5-BEDE-DFF41DDB9714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2743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274320"/>
    <xdr:sp macro="" textlink="">
      <xdr:nvSpPr>
        <xdr:cNvPr id="260" name="Text Box 28">
          <a:extLst>
            <a:ext uri="{FF2B5EF4-FFF2-40B4-BE49-F238E27FC236}">
              <a16:creationId xmlns:a16="http://schemas.microsoft.com/office/drawing/2014/main" id="{95BD91B5-1C84-4A78-B881-90DCE17756E8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2743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257177"/>
    <xdr:sp macro="" textlink="">
      <xdr:nvSpPr>
        <xdr:cNvPr id="261" name="Text Box 25">
          <a:extLst>
            <a:ext uri="{FF2B5EF4-FFF2-40B4-BE49-F238E27FC236}">
              <a16:creationId xmlns:a16="http://schemas.microsoft.com/office/drawing/2014/main" id="{DC491AE8-43CF-4D96-9468-EC23F8C71693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2571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257177"/>
    <xdr:sp macro="" textlink="">
      <xdr:nvSpPr>
        <xdr:cNvPr id="262" name="Text Box 26">
          <a:extLst>
            <a:ext uri="{FF2B5EF4-FFF2-40B4-BE49-F238E27FC236}">
              <a16:creationId xmlns:a16="http://schemas.microsoft.com/office/drawing/2014/main" id="{E7D85214-9B9F-4EA8-91A0-6E8B5A448BED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2571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257177"/>
    <xdr:sp macro="" textlink="">
      <xdr:nvSpPr>
        <xdr:cNvPr id="263" name="Text Box 27">
          <a:extLst>
            <a:ext uri="{FF2B5EF4-FFF2-40B4-BE49-F238E27FC236}">
              <a16:creationId xmlns:a16="http://schemas.microsoft.com/office/drawing/2014/main" id="{F97E3ED8-F411-4567-9FB1-07C7A439BD20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2571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257177"/>
    <xdr:sp macro="" textlink="">
      <xdr:nvSpPr>
        <xdr:cNvPr id="264" name="Text Box 28">
          <a:extLst>
            <a:ext uri="{FF2B5EF4-FFF2-40B4-BE49-F238E27FC236}">
              <a16:creationId xmlns:a16="http://schemas.microsoft.com/office/drawing/2014/main" id="{B9B7B915-32A4-4642-AC32-8DAF94E065DB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2571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257172"/>
    <xdr:sp macro="" textlink="">
      <xdr:nvSpPr>
        <xdr:cNvPr id="265" name="Text Box 25">
          <a:extLst>
            <a:ext uri="{FF2B5EF4-FFF2-40B4-BE49-F238E27FC236}">
              <a16:creationId xmlns:a16="http://schemas.microsoft.com/office/drawing/2014/main" id="{BF5B14CB-C0F2-423A-9C0B-DC70B8D4236A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2571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257172"/>
    <xdr:sp macro="" textlink="">
      <xdr:nvSpPr>
        <xdr:cNvPr id="266" name="Text Box 26">
          <a:extLst>
            <a:ext uri="{FF2B5EF4-FFF2-40B4-BE49-F238E27FC236}">
              <a16:creationId xmlns:a16="http://schemas.microsoft.com/office/drawing/2014/main" id="{98759684-651D-4610-829B-34810FB02A2F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2571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257172"/>
    <xdr:sp macro="" textlink="">
      <xdr:nvSpPr>
        <xdr:cNvPr id="267" name="Text Box 27">
          <a:extLst>
            <a:ext uri="{FF2B5EF4-FFF2-40B4-BE49-F238E27FC236}">
              <a16:creationId xmlns:a16="http://schemas.microsoft.com/office/drawing/2014/main" id="{0BC8072C-577D-45B9-9068-3059BC37C47B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2571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257172"/>
    <xdr:sp macro="" textlink="">
      <xdr:nvSpPr>
        <xdr:cNvPr id="268" name="Text Box 28">
          <a:extLst>
            <a:ext uri="{FF2B5EF4-FFF2-40B4-BE49-F238E27FC236}">
              <a16:creationId xmlns:a16="http://schemas.microsoft.com/office/drawing/2014/main" id="{8128B563-370E-4EBF-B4FF-445F9DF06D24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2571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196215"/>
    <xdr:sp macro="" textlink="">
      <xdr:nvSpPr>
        <xdr:cNvPr id="269" name="Text Box 25">
          <a:extLst>
            <a:ext uri="{FF2B5EF4-FFF2-40B4-BE49-F238E27FC236}">
              <a16:creationId xmlns:a16="http://schemas.microsoft.com/office/drawing/2014/main" id="{708E550C-99C5-4716-87A8-EAB0528488C2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196215"/>
    <xdr:sp macro="" textlink="">
      <xdr:nvSpPr>
        <xdr:cNvPr id="270" name="Text Box 26">
          <a:extLst>
            <a:ext uri="{FF2B5EF4-FFF2-40B4-BE49-F238E27FC236}">
              <a16:creationId xmlns:a16="http://schemas.microsoft.com/office/drawing/2014/main" id="{C572D97B-A93D-4923-BDCD-B7489215DDBC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196215"/>
    <xdr:sp macro="" textlink="">
      <xdr:nvSpPr>
        <xdr:cNvPr id="271" name="Text Box 27">
          <a:extLst>
            <a:ext uri="{FF2B5EF4-FFF2-40B4-BE49-F238E27FC236}">
              <a16:creationId xmlns:a16="http://schemas.microsoft.com/office/drawing/2014/main" id="{8A31295D-9B3E-44B1-9913-748EEC59EAD3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196215"/>
    <xdr:sp macro="" textlink="">
      <xdr:nvSpPr>
        <xdr:cNvPr id="272" name="Text Box 28">
          <a:extLst>
            <a:ext uri="{FF2B5EF4-FFF2-40B4-BE49-F238E27FC236}">
              <a16:creationId xmlns:a16="http://schemas.microsoft.com/office/drawing/2014/main" id="{D32ACC84-E037-4CEB-AC21-356E3895C659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257173"/>
    <xdr:sp macro="" textlink="">
      <xdr:nvSpPr>
        <xdr:cNvPr id="273" name="Text Box 25">
          <a:extLst>
            <a:ext uri="{FF2B5EF4-FFF2-40B4-BE49-F238E27FC236}">
              <a16:creationId xmlns:a16="http://schemas.microsoft.com/office/drawing/2014/main" id="{5BA1B5D2-05D4-4BE7-8DF5-C45B398221B4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25717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257173"/>
    <xdr:sp macro="" textlink="">
      <xdr:nvSpPr>
        <xdr:cNvPr id="274" name="Text Box 26">
          <a:extLst>
            <a:ext uri="{FF2B5EF4-FFF2-40B4-BE49-F238E27FC236}">
              <a16:creationId xmlns:a16="http://schemas.microsoft.com/office/drawing/2014/main" id="{46A3B078-105D-457B-AF34-6F2536154D83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25717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257173"/>
    <xdr:sp macro="" textlink="">
      <xdr:nvSpPr>
        <xdr:cNvPr id="275" name="Text Box 27">
          <a:extLst>
            <a:ext uri="{FF2B5EF4-FFF2-40B4-BE49-F238E27FC236}">
              <a16:creationId xmlns:a16="http://schemas.microsoft.com/office/drawing/2014/main" id="{F3FE9123-6520-4D7B-87FA-FC0C08E11E69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25717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257173"/>
    <xdr:sp macro="" textlink="">
      <xdr:nvSpPr>
        <xdr:cNvPr id="276" name="Text Box 28">
          <a:extLst>
            <a:ext uri="{FF2B5EF4-FFF2-40B4-BE49-F238E27FC236}">
              <a16:creationId xmlns:a16="http://schemas.microsoft.com/office/drawing/2014/main" id="{C0A8A4CA-57AE-4F9B-A556-938BE4A4452E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25717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84</xdr:row>
      <xdr:rowOff>0</xdr:rowOff>
    </xdr:from>
    <xdr:ext cx="76200" cy="259908"/>
    <xdr:sp macro="" textlink="">
      <xdr:nvSpPr>
        <xdr:cNvPr id="277" name="Text Box 25">
          <a:extLst>
            <a:ext uri="{FF2B5EF4-FFF2-40B4-BE49-F238E27FC236}">
              <a16:creationId xmlns:a16="http://schemas.microsoft.com/office/drawing/2014/main" id="{335054CC-EDC8-4FE5-A138-83E3D9D693AB}"/>
            </a:ext>
          </a:extLst>
        </xdr:cNvPr>
        <xdr:cNvSpPr txBox="1">
          <a:spLocks noChangeArrowheads="1"/>
        </xdr:cNvSpPr>
      </xdr:nvSpPr>
      <xdr:spPr bwMode="auto">
        <a:xfrm>
          <a:off x="10363200" y="14996160"/>
          <a:ext cx="76200" cy="2599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84</xdr:row>
      <xdr:rowOff>0</xdr:rowOff>
    </xdr:from>
    <xdr:ext cx="76200" cy="259908"/>
    <xdr:sp macro="" textlink="">
      <xdr:nvSpPr>
        <xdr:cNvPr id="278" name="Text Box 26">
          <a:extLst>
            <a:ext uri="{FF2B5EF4-FFF2-40B4-BE49-F238E27FC236}">
              <a16:creationId xmlns:a16="http://schemas.microsoft.com/office/drawing/2014/main" id="{AA85522C-0EF5-4CE2-AFDF-CBB0A349D524}"/>
            </a:ext>
          </a:extLst>
        </xdr:cNvPr>
        <xdr:cNvSpPr txBox="1">
          <a:spLocks noChangeArrowheads="1"/>
        </xdr:cNvSpPr>
      </xdr:nvSpPr>
      <xdr:spPr bwMode="auto">
        <a:xfrm>
          <a:off x="10363200" y="14996160"/>
          <a:ext cx="76200" cy="2599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84</xdr:row>
      <xdr:rowOff>0</xdr:rowOff>
    </xdr:from>
    <xdr:ext cx="76200" cy="259908"/>
    <xdr:sp macro="" textlink="">
      <xdr:nvSpPr>
        <xdr:cNvPr id="279" name="Text Box 27">
          <a:extLst>
            <a:ext uri="{FF2B5EF4-FFF2-40B4-BE49-F238E27FC236}">
              <a16:creationId xmlns:a16="http://schemas.microsoft.com/office/drawing/2014/main" id="{5F0AF56A-9DA5-43E3-B919-58AC28714C6C}"/>
            </a:ext>
          </a:extLst>
        </xdr:cNvPr>
        <xdr:cNvSpPr txBox="1">
          <a:spLocks noChangeArrowheads="1"/>
        </xdr:cNvSpPr>
      </xdr:nvSpPr>
      <xdr:spPr bwMode="auto">
        <a:xfrm>
          <a:off x="10363200" y="14996160"/>
          <a:ext cx="76200" cy="2599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84</xdr:row>
      <xdr:rowOff>0</xdr:rowOff>
    </xdr:from>
    <xdr:ext cx="76200" cy="259908"/>
    <xdr:sp macro="" textlink="">
      <xdr:nvSpPr>
        <xdr:cNvPr id="280" name="Text Box 28">
          <a:extLst>
            <a:ext uri="{FF2B5EF4-FFF2-40B4-BE49-F238E27FC236}">
              <a16:creationId xmlns:a16="http://schemas.microsoft.com/office/drawing/2014/main" id="{58417B62-0B62-449D-8878-7C9D9D8FEA34}"/>
            </a:ext>
          </a:extLst>
        </xdr:cNvPr>
        <xdr:cNvSpPr txBox="1">
          <a:spLocks noChangeArrowheads="1"/>
        </xdr:cNvSpPr>
      </xdr:nvSpPr>
      <xdr:spPr bwMode="auto">
        <a:xfrm>
          <a:off x="10363200" y="14996160"/>
          <a:ext cx="76200" cy="2599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257176"/>
    <xdr:sp macro="" textlink="">
      <xdr:nvSpPr>
        <xdr:cNvPr id="281" name="Text Box 25">
          <a:extLst>
            <a:ext uri="{FF2B5EF4-FFF2-40B4-BE49-F238E27FC236}">
              <a16:creationId xmlns:a16="http://schemas.microsoft.com/office/drawing/2014/main" id="{2F7D4F44-D674-48A0-97FB-18E872387C25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257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257176"/>
    <xdr:sp macro="" textlink="">
      <xdr:nvSpPr>
        <xdr:cNvPr id="282" name="Text Box 26">
          <a:extLst>
            <a:ext uri="{FF2B5EF4-FFF2-40B4-BE49-F238E27FC236}">
              <a16:creationId xmlns:a16="http://schemas.microsoft.com/office/drawing/2014/main" id="{FFE9A537-3B95-4CA7-B744-06658EB3CF48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257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257176"/>
    <xdr:sp macro="" textlink="">
      <xdr:nvSpPr>
        <xdr:cNvPr id="283" name="Text Box 27">
          <a:extLst>
            <a:ext uri="{FF2B5EF4-FFF2-40B4-BE49-F238E27FC236}">
              <a16:creationId xmlns:a16="http://schemas.microsoft.com/office/drawing/2014/main" id="{8C6B7D94-DA26-4850-9763-C7765BF40A96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257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257176"/>
    <xdr:sp macro="" textlink="">
      <xdr:nvSpPr>
        <xdr:cNvPr id="284" name="Text Box 28">
          <a:extLst>
            <a:ext uri="{FF2B5EF4-FFF2-40B4-BE49-F238E27FC236}">
              <a16:creationId xmlns:a16="http://schemas.microsoft.com/office/drawing/2014/main" id="{275BC24B-6A3F-4823-B6D7-EDE1B61449AB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257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257172"/>
    <xdr:sp macro="" textlink="">
      <xdr:nvSpPr>
        <xdr:cNvPr id="285" name="Text Box 25">
          <a:extLst>
            <a:ext uri="{FF2B5EF4-FFF2-40B4-BE49-F238E27FC236}">
              <a16:creationId xmlns:a16="http://schemas.microsoft.com/office/drawing/2014/main" id="{35382747-726E-493A-A874-278FBE8C2F05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2571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257172"/>
    <xdr:sp macro="" textlink="">
      <xdr:nvSpPr>
        <xdr:cNvPr id="286" name="Text Box 26">
          <a:extLst>
            <a:ext uri="{FF2B5EF4-FFF2-40B4-BE49-F238E27FC236}">
              <a16:creationId xmlns:a16="http://schemas.microsoft.com/office/drawing/2014/main" id="{A35915E2-501C-49EA-9EEC-587071E59D01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2571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257172"/>
    <xdr:sp macro="" textlink="">
      <xdr:nvSpPr>
        <xdr:cNvPr id="287" name="Text Box 27">
          <a:extLst>
            <a:ext uri="{FF2B5EF4-FFF2-40B4-BE49-F238E27FC236}">
              <a16:creationId xmlns:a16="http://schemas.microsoft.com/office/drawing/2014/main" id="{5C8EB798-949B-4EC8-99CC-028160A036E2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2571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257172"/>
    <xdr:sp macro="" textlink="">
      <xdr:nvSpPr>
        <xdr:cNvPr id="288" name="Text Box 28">
          <a:extLst>
            <a:ext uri="{FF2B5EF4-FFF2-40B4-BE49-F238E27FC236}">
              <a16:creationId xmlns:a16="http://schemas.microsoft.com/office/drawing/2014/main" id="{078F719E-F06C-45DD-949F-1BBDC385F563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2571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84</xdr:row>
      <xdr:rowOff>0</xdr:rowOff>
    </xdr:from>
    <xdr:ext cx="76200" cy="259909"/>
    <xdr:sp macro="" textlink="">
      <xdr:nvSpPr>
        <xdr:cNvPr id="289" name="Text Box 25">
          <a:extLst>
            <a:ext uri="{FF2B5EF4-FFF2-40B4-BE49-F238E27FC236}">
              <a16:creationId xmlns:a16="http://schemas.microsoft.com/office/drawing/2014/main" id="{836D8BAB-5E59-482C-8DC7-3DEF3B9AA788}"/>
            </a:ext>
          </a:extLst>
        </xdr:cNvPr>
        <xdr:cNvSpPr txBox="1">
          <a:spLocks noChangeArrowheads="1"/>
        </xdr:cNvSpPr>
      </xdr:nvSpPr>
      <xdr:spPr bwMode="auto">
        <a:xfrm>
          <a:off x="9753600" y="14996160"/>
          <a:ext cx="76200" cy="2599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84</xdr:row>
      <xdr:rowOff>0</xdr:rowOff>
    </xdr:from>
    <xdr:ext cx="76200" cy="259909"/>
    <xdr:sp macro="" textlink="">
      <xdr:nvSpPr>
        <xdr:cNvPr id="290" name="Text Box 26">
          <a:extLst>
            <a:ext uri="{FF2B5EF4-FFF2-40B4-BE49-F238E27FC236}">
              <a16:creationId xmlns:a16="http://schemas.microsoft.com/office/drawing/2014/main" id="{2A5C6338-083B-4A35-BBDD-8411B9DDB756}"/>
            </a:ext>
          </a:extLst>
        </xdr:cNvPr>
        <xdr:cNvSpPr txBox="1">
          <a:spLocks noChangeArrowheads="1"/>
        </xdr:cNvSpPr>
      </xdr:nvSpPr>
      <xdr:spPr bwMode="auto">
        <a:xfrm>
          <a:off x="9753600" y="14996160"/>
          <a:ext cx="76200" cy="2599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84</xdr:row>
      <xdr:rowOff>0</xdr:rowOff>
    </xdr:from>
    <xdr:ext cx="76200" cy="259909"/>
    <xdr:sp macro="" textlink="">
      <xdr:nvSpPr>
        <xdr:cNvPr id="291" name="Text Box 27">
          <a:extLst>
            <a:ext uri="{FF2B5EF4-FFF2-40B4-BE49-F238E27FC236}">
              <a16:creationId xmlns:a16="http://schemas.microsoft.com/office/drawing/2014/main" id="{BE658B1E-0DA3-4F28-886D-96D4E06BF021}"/>
            </a:ext>
          </a:extLst>
        </xdr:cNvPr>
        <xdr:cNvSpPr txBox="1">
          <a:spLocks noChangeArrowheads="1"/>
        </xdr:cNvSpPr>
      </xdr:nvSpPr>
      <xdr:spPr bwMode="auto">
        <a:xfrm>
          <a:off x="9753600" y="14996160"/>
          <a:ext cx="76200" cy="2599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84</xdr:row>
      <xdr:rowOff>0</xdr:rowOff>
    </xdr:from>
    <xdr:ext cx="76200" cy="259909"/>
    <xdr:sp macro="" textlink="">
      <xdr:nvSpPr>
        <xdr:cNvPr id="292" name="Text Box 28">
          <a:extLst>
            <a:ext uri="{FF2B5EF4-FFF2-40B4-BE49-F238E27FC236}">
              <a16:creationId xmlns:a16="http://schemas.microsoft.com/office/drawing/2014/main" id="{F14C07A9-2FB2-4830-9E0B-26B746D363D2}"/>
            </a:ext>
          </a:extLst>
        </xdr:cNvPr>
        <xdr:cNvSpPr txBox="1">
          <a:spLocks noChangeArrowheads="1"/>
        </xdr:cNvSpPr>
      </xdr:nvSpPr>
      <xdr:spPr bwMode="auto">
        <a:xfrm>
          <a:off x="9753600" y="14996160"/>
          <a:ext cx="76200" cy="2599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84</xdr:row>
      <xdr:rowOff>0</xdr:rowOff>
    </xdr:from>
    <xdr:ext cx="76200" cy="259907"/>
    <xdr:sp macro="" textlink="">
      <xdr:nvSpPr>
        <xdr:cNvPr id="293" name="Text Box 25">
          <a:extLst>
            <a:ext uri="{FF2B5EF4-FFF2-40B4-BE49-F238E27FC236}">
              <a16:creationId xmlns:a16="http://schemas.microsoft.com/office/drawing/2014/main" id="{3E724899-8B33-45EC-AD9E-3E8FCD559B0A}"/>
            </a:ext>
          </a:extLst>
        </xdr:cNvPr>
        <xdr:cNvSpPr txBox="1">
          <a:spLocks noChangeArrowheads="1"/>
        </xdr:cNvSpPr>
      </xdr:nvSpPr>
      <xdr:spPr bwMode="auto">
        <a:xfrm>
          <a:off x="10363200" y="14996160"/>
          <a:ext cx="76200" cy="2599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84</xdr:row>
      <xdr:rowOff>0</xdr:rowOff>
    </xdr:from>
    <xdr:ext cx="76200" cy="259907"/>
    <xdr:sp macro="" textlink="">
      <xdr:nvSpPr>
        <xdr:cNvPr id="294" name="Text Box 26">
          <a:extLst>
            <a:ext uri="{FF2B5EF4-FFF2-40B4-BE49-F238E27FC236}">
              <a16:creationId xmlns:a16="http://schemas.microsoft.com/office/drawing/2014/main" id="{894E191B-600B-4384-8234-89FC69EBB960}"/>
            </a:ext>
          </a:extLst>
        </xdr:cNvPr>
        <xdr:cNvSpPr txBox="1">
          <a:spLocks noChangeArrowheads="1"/>
        </xdr:cNvSpPr>
      </xdr:nvSpPr>
      <xdr:spPr bwMode="auto">
        <a:xfrm>
          <a:off x="10363200" y="14996160"/>
          <a:ext cx="76200" cy="2599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84</xdr:row>
      <xdr:rowOff>0</xdr:rowOff>
    </xdr:from>
    <xdr:ext cx="76200" cy="259907"/>
    <xdr:sp macro="" textlink="">
      <xdr:nvSpPr>
        <xdr:cNvPr id="295" name="Text Box 27">
          <a:extLst>
            <a:ext uri="{FF2B5EF4-FFF2-40B4-BE49-F238E27FC236}">
              <a16:creationId xmlns:a16="http://schemas.microsoft.com/office/drawing/2014/main" id="{7ACFDD3D-C128-4262-8EF1-9AD9A3839143}"/>
            </a:ext>
          </a:extLst>
        </xdr:cNvPr>
        <xdr:cNvSpPr txBox="1">
          <a:spLocks noChangeArrowheads="1"/>
        </xdr:cNvSpPr>
      </xdr:nvSpPr>
      <xdr:spPr bwMode="auto">
        <a:xfrm>
          <a:off x="10363200" y="14996160"/>
          <a:ext cx="76200" cy="2599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84</xdr:row>
      <xdr:rowOff>0</xdr:rowOff>
    </xdr:from>
    <xdr:ext cx="76200" cy="259907"/>
    <xdr:sp macro="" textlink="">
      <xdr:nvSpPr>
        <xdr:cNvPr id="296" name="Text Box 28">
          <a:extLst>
            <a:ext uri="{FF2B5EF4-FFF2-40B4-BE49-F238E27FC236}">
              <a16:creationId xmlns:a16="http://schemas.microsoft.com/office/drawing/2014/main" id="{7924322A-41B2-4B37-8F66-659A8C2C1E4F}"/>
            </a:ext>
          </a:extLst>
        </xdr:cNvPr>
        <xdr:cNvSpPr txBox="1">
          <a:spLocks noChangeArrowheads="1"/>
        </xdr:cNvSpPr>
      </xdr:nvSpPr>
      <xdr:spPr bwMode="auto">
        <a:xfrm>
          <a:off x="10363200" y="14996160"/>
          <a:ext cx="76200" cy="2599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112</xdr:row>
      <xdr:rowOff>0</xdr:rowOff>
    </xdr:from>
    <xdr:ext cx="76200" cy="257174"/>
    <xdr:sp macro="" textlink="">
      <xdr:nvSpPr>
        <xdr:cNvPr id="297" name="Text Box 25">
          <a:extLst>
            <a:ext uri="{FF2B5EF4-FFF2-40B4-BE49-F238E27FC236}">
              <a16:creationId xmlns:a16="http://schemas.microsoft.com/office/drawing/2014/main" id="{D70A6570-0BB1-466D-80C3-EBCDA406786D}"/>
            </a:ext>
          </a:extLst>
        </xdr:cNvPr>
        <xdr:cNvSpPr txBox="1">
          <a:spLocks noChangeArrowheads="1"/>
        </xdr:cNvSpPr>
      </xdr:nvSpPr>
      <xdr:spPr bwMode="auto">
        <a:xfrm>
          <a:off x="10363200" y="20116800"/>
          <a:ext cx="76200" cy="2571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112</xdr:row>
      <xdr:rowOff>0</xdr:rowOff>
    </xdr:from>
    <xdr:ext cx="76200" cy="257174"/>
    <xdr:sp macro="" textlink="">
      <xdr:nvSpPr>
        <xdr:cNvPr id="298" name="Text Box 26">
          <a:extLst>
            <a:ext uri="{FF2B5EF4-FFF2-40B4-BE49-F238E27FC236}">
              <a16:creationId xmlns:a16="http://schemas.microsoft.com/office/drawing/2014/main" id="{5DC00D0F-D4B7-4B32-8060-F83B392091ED}"/>
            </a:ext>
          </a:extLst>
        </xdr:cNvPr>
        <xdr:cNvSpPr txBox="1">
          <a:spLocks noChangeArrowheads="1"/>
        </xdr:cNvSpPr>
      </xdr:nvSpPr>
      <xdr:spPr bwMode="auto">
        <a:xfrm>
          <a:off x="10363200" y="20116800"/>
          <a:ext cx="76200" cy="2571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112</xdr:row>
      <xdr:rowOff>0</xdr:rowOff>
    </xdr:from>
    <xdr:ext cx="76200" cy="257174"/>
    <xdr:sp macro="" textlink="">
      <xdr:nvSpPr>
        <xdr:cNvPr id="299" name="Text Box 27">
          <a:extLst>
            <a:ext uri="{FF2B5EF4-FFF2-40B4-BE49-F238E27FC236}">
              <a16:creationId xmlns:a16="http://schemas.microsoft.com/office/drawing/2014/main" id="{D9C0FD8E-7714-43DA-B0A6-7B93DDFBDD89}"/>
            </a:ext>
          </a:extLst>
        </xdr:cNvPr>
        <xdr:cNvSpPr txBox="1">
          <a:spLocks noChangeArrowheads="1"/>
        </xdr:cNvSpPr>
      </xdr:nvSpPr>
      <xdr:spPr bwMode="auto">
        <a:xfrm>
          <a:off x="10363200" y="20116800"/>
          <a:ext cx="76200" cy="2571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112</xdr:row>
      <xdr:rowOff>0</xdr:rowOff>
    </xdr:from>
    <xdr:ext cx="76200" cy="257174"/>
    <xdr:sp macro="" textlink="">
      <xdr:nvSpPr>
        <xdr:cNvPr id="300" name="Text Box 28">
          <a:extLst>
            <a:ext uri="{FF2B5EF4-FFF2-40B4-BE49-F238E27FC236}">
              <a16:creationId xmlns:a16="http://schemas.microsoft.com/office/drawing/2014/main" id="{6C1F9410-0C9C-4BBD-A8B0-33D55381DCA3}"/>
            </a:ext>
          </a:extLst>
        </xdr:cNvPr>
        <xdr:cNvSpPr txBox="1">
          <a:spLocks noChangeArrowheads="1"/>
        </xdr:cNvSpPr>
      </xdr:nvSpPr>
      <xdr:spPr bwMode="auto">
        <a:xfrm>
          <a:off x="10363200" y="20116800"/>
          <a:ext cx="76200" cy="2571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112</xdr:row>
      <xdr:rowOff>0</xdr:rowOff>
    </xdr:from>
    <xdr:ext cx="76200" cy="257174"/>
    <xdr:sp macro="" textlink="">
      <xdr:nvSpPr>
        <xdr:cNvPr id="301" name="Text Box 25">
          <a:extLst>
            <a:ext uri="{FF2B5EF4-FFF2-40B4-BE49-F238E27FC236}">
              <a16:creationId xmlns:a16="http://schemas.microsoft.com/office/drawing/2014/main" id="{43719D55-8998-47D7-A6D8-1F321EACC4DC}"/>
            </a:ext>
          </a:extLst>
        </xdr:cNvPr>
        <xdr:cNvSpPr txBox="1">
          <a:spLocks noChangeArrowheads="1"/>
        </xdr:cNvSpPr>
      </xdr:nvSpPr>
      <xdr:spPr bwMode="auto">
        <a:xfrm>
          <a:off x="10363200" y="20116800"/>
          <a:ext cx="76200" cy="2571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112</xdr:row>
      <xdr:rowOff>0</xdr:rowOff>
    </xdr:from>
    <xdr:ext cx="76200" cy="257174"/>
    <xdr:sp macro="" textlink="">
      <xdr:nvSpPr>
        <xdr:cNvPr id="302" name="Text Box 26">
          <a:extLst>
            <a:ext uri="{FF2B5EF4-FFF2-40B4-BE49-F238E27FC236}">
              <a16:creationId xmlns:a16="http://schemas.microsoft.com/office/drawing/2014/main" id="{4F541719-8509-4B49-9AC5-1902647D8B64}"/>
            </a:ext>
          </a:extLst>
        </xdr:cNvPr>
        <xdr:cNvSpPr txBox="1">
          <a:spLocks noChangeArrowheads="1"/>
        </xdr:cNvSpPr>
      </xdr:nvSpPr>
      <xdr:spPr bwMode="auto">
        <a:xfrm>
          <a:off x="10363200" y="20116800"/>
          <a:ext cx="76200" cy="2571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112</xdr:row>
      <xdr:rowOff>0</xdr:rowOff>
    </xdr:from>
    <xdr:ext cx="76200" cy="257174"/>
    <xdr:sp macro="" textlink="">
      <xdr:nvSpPr>
        <xdr:cNvPr id="303" name="Text Box 27">
          <a:extLst>
            <a:ext uri="{FF2B5EF4-FFF2-40B4-BE49-F238E27FC236}">
              <a16:creationId xmlns:a16="http://schemas.microsoft.com/office/drawing/2014/main" id="{709F262F-FEF4-4086-92A0-BE88F661436E}"/>
            </a:ext>
          </a:extLst>
        </xdr:cNvPr>
        <xdr:cNvSpPr txBox="1">
          <a:spLocks noChangeArrowheads="1"/>
        </xdr:cNvSpPr>
      </xdr:nvSpPr>
      <xdr:spPr bwMode="auto">
        <a:xfrm>
          <a:off x="10363200" y="20116800"/>
          <a:ext cx="76200" cy="2571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112</xdr:row>
      <xdr:rowOff>0</xdr:rowOff>
    </xdr:from>
    <xdr:ext cx="76200" cy="257174"/>
    <xdr:sp macro="" textlink="">
      <xdr:nvSpPr>
        <xdr:cNvPr id="304" name="Text Box 28">
          <a:extLst>
            <a:ext uri="{FF2B5EF4-FFF2-40B4-BE49-F238E27FC236}">
              <a16:creationId xmlns:a16="http://schemas.microsoft.com/office/drawing/2014/main" id="{17C63BB0-902A-4604-9BCE-46E00F7AD24B}"/>
            </a:ext>
          </a:extLst>
        </xdr:cNvPr>
        <xdr:cNvSpPr txBox="1">
          <a:spLocks noChangeArrowheads="1"/>
        </xdr:cNvSpPr>
      </xdr:nvSpPr>
      <xdr:spPr bwMode="auto">
        <a:xfrm>
          <a:off x="10363200" y="20116800"/>
          <a:ext cx="76200" cy="2571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86</xdr:row>
      <xdr:rowOff>0</xdr:rowOff>
    </xdr:from>
    <xdr:ext cx="76200" cy="259911"/>
    <xdr:sp macro="" textlink="">
      <xdr:nvSpPr>
        <xdr:cNvPr id="305" name="Text Box 25">
          <a:extLst>
            <a:ext uri="{FF2B5EF4-FFF2-40B4-BE49-F238E27FC236}">
              <a16:creationId xmlns:a16="http://schemas.microsoft.com/office/drawing/2014/main" id="{39625186-E199-42B1-A006-3A1C8FCD2805}"/>
            </a:ext>
          </a:extLst>
        </xdr:cNvPr>
        <xdr:cNvSpPr txBox="1">
          <a:spLocks noChangeArrowheads="1"/>
        </xdr:cNvSpPr>
      </xdr:nvSpPr>
      <xdr:spPr bwMode="auto">
        <a:xfrm>
          <a:off x="10363200" y="15361920"/>
          <a:ext cx="76200" cy="2599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86</xdr:row>
      <xdr:rowOff>0</xdr:rowOff>
    </xdr:from>
    <xdr:ext cx="76200" cy="259911"/>
    <xdr:sp macro="" textlink="">
      <xdr:nvSpPr>
        <xdr:cNvPr id="306" name="Text Box 26">
          <a:extLst>
            <a:ext uri="{FF2B5EF4-FFF2-40B4-BE49-F238E27FC236}">
              <a16:creationId xmlns:a16="http://schemas.microsoft.com/office/drawing/2014/main" id="{BC432054-93B0-4215-9305-B2056EE51917}"/>
            </a:ext>
          </a:extLst>
        </xdr:cNvPr>
        <xdr:cNvSpPr txBox="1">
          <a:spLocks noChangeArrowheads="1"/>
        </xdr:cNvSpPr>
      </xdr:nvSpPr>
      <xdr:spPr bwMode="auto">
        <a:xfrm>
          <a:off x="10363200" y="15361920"/>
          <a:ext cx="76200" cy="2599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86</xdr:row>
      <xdr:rowOff>0</xdr:rowOff>
    </xdr:from>
    <xdr:ext cx="76200" cy="259911"/>
    <xdr:sp macro="" textlink="">
      <xdr:nvSpPr>
        <xdr:cNvPr id="307" name="Text Box 27">
          <a:extLst>
            <a:ext uri="{FF2B5EF4-FFF2-40B4-BE49-F238E27FC236}">
              <a16:creationId xmlns:a16="http://schemas.microsoft.com/office/drawing/2014/main" id="{80888607-23BE-4175-B2A9-0D644D4D1994}"/>
            </a:ext>
          </a:extLst>
        </xdr:cNvPr>
        <xdr:cNvSpPr txBox="1">
          <a:spLocks noChangeArrowheads="1"/>
        </xdr:cNvSpPr>
      </xdr:nvSpPr>
      <xdr:spPr bwMode="auto">
        <a:xfrm>
          <a:off x="10363200" y="15361920"/>
          <a:ext cx="76200" cy="2599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86</xdr:row>
      <xdr:rowOff>0</xdr:rowOff>
    </xdr:from>
    <xdr:ext cx="76200" cy="259911"/>
    <xdr:sp macro="" textlink="">
      <xdr:nvSpPr>
        <xdr:cNvPr id="308" name="Text Box 28">
          <a:extLst>
            <a:ext uri="{FF2B5EF4-FFF2-40B4-BE49-F238E27FC236}">
              <a16:creationId xmlns:a16="http://schemas.microsoft.com/office/drawing/2014/main" id="{87D534A6-3BF1-40CB-965E-DC5F2F86280E}"/>
            </a:ext>
          </a:extLst>
        </xdr:cNvPr>
        <xdr:cNvSpPr txBox="1">
          <a:spLocks noChangeArrowheads="1"/>
        </xdr:cNvSpPr>
      </xdr:nvSpPr>
      <xdr:spPr bwMode="auto">
        <a:xfrm>
          <a:off x="10363200" y="15361920"/>
          <a:ext cx="76200" cy="2599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97</xdr:row>
      <xdr:rowOff>0</xdr:rowOff>
    </xdr:from>
    <xdr:ext cx="76200" cy="259907"/>
    <xdr:sp macro="" textlink="">
      <xdr:nvSpPr>
        <xdr:cNvPr id="309" name="Text Box 25">
          <a:extLst>
            <a:ext uri="{FF2B5EF4-FFF2-40B4-BE49-F238E27FC236}">
              <a16:creationId xmlns:a16="http://schemas.microsoft.com/office/drawing/2014/main" id="{671AF712-DBA3-407E-909E-03D80045E9BE}"/>
            </a:ext>
          </a:extLst>
        </xdr:cNvPr>
        <xdr:cNvSpPr txBox="1">
          <a:spLocks noChangeArrowheads="1"/>
        </xdr:cNvSpPr>
      </xdr:nvSpPr>
      <xdr:spPr bwMode="auto">
        <a:xfrm>
          <a:off x="9753600" y="17373600"/>
          <a:ext cx="76200" cy="2599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97</xdr:row>
      <xdr:rowOff>0</xdr:rowOff>
    </xdr:from>
    <xdr:ext cx="76200" cy="259907"/>
    <xdr:sp macro="" textlink="">
      <xdr:nvSpPr>
        <xdr:cNvPr id="310" name="Text Box 26">
          <a:extLst>
            <a:ext uri="{FF2B5EF4-FFF2-40B4-BE49-F238E27FC236}">
              <a16:creationId xmlns:a16="http://schemas.microsoft.com/office/drawing/2014/main" id="{468FC348-8732-4F30-B6DB-1F4BB9CD2E78}"/>
            </a:ext>
          </a:extLst>
        </xdr:cNvPr>
        <xdr:cNvSpPr txBox="1">
          <a:spLocks noChangeArrowheads="1"/>
        </xdr:cNvSpPr>
      </xdr:nvSpPr>
      <xdr:spPr bwMode="auto">
        <a:xfrm>
          <a:off x="9753600" y="17373600"/>
          <a:ext cx="76200" cy="2599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97</xdr:row>
      <xdr:rowOff>0</xdr:rowOff>
    </xdr:from>
    <xdr:ext cx="76200" cy="259907"/>
    <xdr:sp macro="" textlink="">
      <xdr:nvSpPr>
        <xdr:cNvPr id="311" name="Text Box 27">
          <a:extLst>
            <a:ext uri="{FF2B5EF4-FFF2-40B4-BE49-F238E27FC236}">
              <a16:creationId xmlns:a16="http://schemas.microsoft.com/office/drawing/2014/main" id="{600658AC-E43E-4597-BAFE-934F93C4D241}"/>
            </a:ext>
          </a:extLst>
        </xdr:cNvPr>
        <xdr:cNvSpPr txBox="1">
          <a:spLocks noChangeArrowheads="1"/>
        </xdr:cNvSpPr>
      </xdr:nvSpPr>
      <xdr:spPr bwMode="auto">
        <a:xfrm>
          <a:off x="9753600" y="17373600"/>
          <a:ext cx="76200" cy="2599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97</xdr:row>
      <xdr:rowOff>0</xdr:rowOff>
    </xdr:from>
    <xdr:ext cx="76200" cy="259907"/>
    <xdr:sp macro="" textlink="">
      <xdr:nvSpPr>
        <xdr:cNvPr id="312" name="Text Box 28">
          <a:extLst>
            <a:ext uri="{FF2B5EF4-FFF2-40B4-BE49-F238E27FC236}">
              <a16:creationId xmlns:a16="http://schemas.microsoft.com/office/drawing/2014/main" id="{49052F6C-DE56-4145-A28B-DFF1ABCA2761}"/>
            </a:ext>
          </a:extLst>
        </xdr:cNvPr>
        <xdr:cNvSpPr txBox="1">
          <a:spLocks noChangeArrowheads="1"/>
        </xdr:cNvSpPr>
      </xdr:nvSpPr>
      <xdr:spPr bwMode="auto">
        <a:xfrm>
          <a:off x="9753600" y="17373600"/>
          <a:ext cx="76200" cy="2599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102</xdr:row>
      <xdr:rowOff>0</xdr:rowOff>
    </xdr:from>
    <xdr:ext cx="76200" cy="296193"/>
    <xdr:sp macro="" textlink="">
      <xdr:nvSpPr>
        <xdr:cNvPr id="313" name="Text Box 25">
          <a:extLst>
            <a:ext uri="{FF2B5EF4-FFF2-40B4-BE49-F238E27FC236}">
              <a16:creationId xmlns:a16="http://schemas.microsoft.com/office/drawing/2014/main" id="{1504A4B6-0FBE-4930-A782-E8A7DD460BA3}"/>
            </a:ext>
          </a:extLst>
        </xdr:cNvPr>
        <xdr:cNvSpPr txBox="1">
          <a:spLocks noChangeArrowheads="1"/>
        </xdr:cNvSpPr>
      </xdr:nvSpPr>
      <xdr:spPr bwMode="auto">
        <a:xfrm>
          <a:off x="9753600" y="18288000"/>
          <a:ext cx="76200" cy="2961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102</xdr:row>
      <xdr:rowOff>0</xdr:rowOff>
    </xdr:from>
    <xdr:ext cx="76200" cy="296193"/>
    <xdr:sp macro="" textlink="">
      <xdr:nvSpPr>
        <xdr:cNvPr id="314" name="Text Box 26">
          <a:extLst>
            <a:ext uri="{FF2B5EF4-FFF2-40B4-BE49-F238E27FC236}">
              <a16:creationId xmlns:a16="http://schemas.microsoft.com/office/drawing/2014/main" id="{21B936DD-77C2-4794-9DE4-0FFB809128E3}"/>
            </a:ext>
          </a:extLst>
        </xdr:cNvPr>
        <xdr:cNvSpPr txBox="1">
          <a:spLocks noChangeArrowheads="1"/>
        </xdr:cNvSpPr>
      </xdr:nvSpPr>
      <xdr:spPr bwMode="auto">
        <a:xfrm>
          <a:off x="9753600" y="18288000"/>
          <a:ext cx="76200" cy="2961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102</xdr:row>
      <xdr:rowOff>0</xdr:rowOff>
    </xdr:from>
    <xdr:ext cx="76200" cy="296193"/>
    <xdr:sp macro="" textlink="">
      <xdr:nvSpPr>
        <xdr:cNvPr id="315" name="Text Box 27">
          <a:extLst>
            <a:ext uri="{FF2B5EF4-FFF2-40B4-BE49-F238E27FC236}">
              <a16:creationId xmlns:a16="http://schemas.microsoft.com/office/drawing/2014/main" id="{F0CD0768-BF4C-40BF-81D3-72DAC9EB114B}"/>
            </a:ext>
          </a:extLst>
        </xdr:cNvPr>
        <xdr:cNvSpPr txBox="1">
          <a:spLocks noChangeArrowheads="1"/>
        </xdr:cNvSpPr>
      </xdr:nvSpPr>
      <xdr:spPr bwMode="auto">
        <a:xfrm>
          <a:off x="9753600" y="18288000"/>
          <a:ext cx="76200" cy="2961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102</xdr:row>
      <xdr:rowOff>0</xdr:rowOff>
    </xdr:from>
    <xdr:ext cx="76200" cy="296193"/>
    <xdr:sp macro="" textlink="">
      <xdr:nvSpPr>
        <xdr:cNvPr id="316" name="Text Box 28">
          <a:extLst>
            <a:ext uri="{FF2B5EF4-FFF2-40B4-BE49-F238E27FC236}">
              <a16:creationId xmlns:a16="http://schemas.microsoft.com/office/drawing/2014/main" id="{A9D2247F-1326-48C9-A2A3-938A09CB184A}"/>
            </a:ext>
          </a:extLst>
        </xdr:cNvPr>
        <xdr:cNvSpPr txBox="1">
          <a:spLocks noChangeArrowheads="1"/>
        </xdr:cNvSpPr>
      </xdr:nvSpPr>
      <xdr:spPr bwMode="auto">
        <a:xfrm>
          <a:off x="9753600" y="18288000"/>
          <a:ext cx="76200" cy="2961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102</xdr:row>
      <xdr:rowOff>0</xdr:rowOff>
    </xdr:from>
    <xdr:ext cx="76200" cy="279048"/>
    <xdr:sp macro="" textlink="">
      <xdr:nvSpPr>
        <xdr:cNvPr id="317" name="Text Box 25">
          <a:extLst>
            <a:ext uri="{FF2B5EF4-FFF2-40B4-BE49-F238E27FC236}">
              <a16:creationId xmlns:a16="http://schemas.microsoft.com/office/drawing/2014/main" id="{0DC22433-4D3C-49F4-AAF3-B9BF13870441}"/>
            </a:ext>
          </a:extLst>
        </xdr:cNvPr>
        <xdr:cNvSpPr txBox="1">
          <a:spLocks noChangeArrowheads="1"/>
        </xdr:cNvSpPr>
      </xdr:nvSpPr>
      <xdr:spPr bwMode="auto">
        <a:xfrm>
          <a:off x="9753600" y="18288000"/>
          <a:ext cx="76200" cy="2790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102</xdr:row>
      <xdr:rowOff>0</xdr:rowOff>
    </xdr:from>
    <xdr:ext cx="76200" cy="279048"/>
    <xdr:sp macro="" textlink="">
      <xdr:nvSpPr>
        <xdr:cNvPr id="318" name="Text Box 26">
          <a:extLst>
            <a:ext uri="{FF2B5EF4-FFF2-40B4-BE49-F238E27FC236}">
              <a16:creationId xmlns:a16="http://schemas.microsoft.com/office/drawing/2014/main" id="{091659DD-4DA5-4C82-A21A-5F9FC69E1E10}"/>
            </a:ext>
          </a:extLst>
        </xdr:cNvPr>
        <xdr:cNvSpPr txBox="1">
          <a:spLocks noChangeArrowheads="1"/>
        </xdr:cNvSpPr>
      </xdr:nvSpPr>
      <xdr:spPr bwMode="auto">
        <a:xfrm>
          <a:off x="9753600" y="18288000"/>
          <a:ext cx="76200" cy="2790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102</xdr:row>
      <xdr:rowOff>0</xdr:rowOff>
    </xdr:from>
    <xdr:ext cx="76200" cy="279048"/>
    <xdr:sp macro="" textlink="">
      <xdr:nvSpPr>
        <xdr:cNvPr id="319" name="Text Box 27">
          <a:extLst>
            <a:ext uri="{FF2B5EF4-FFF2-40B4-BE49-F238E27FC236}">
              <a16:creationId xmlns:a16="http://schemas.microsoft.com/office/drawing/2014/main" id="{728442A1-5CE8-48CA-BE4A-235029CB7BC5}"/>
            </a:ext>
          </a:extLst>
        </xdr:cNvPr>
        <xdr:cNvSpPr txBox="1">
          <a:spLocks noChangeArrowheads="1"/>
        </xdr:cNvSpPr>
      </xdr:nvSpPr>
      <xdr:spPr bwMode="auto">
        <a:xfrm>
          <a:off x="9753600" y="18288000"/>
          <a:ext cx="76200" cy="2790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102</xdr:row>
      <xdr:rowOff>0</xdr:rowOff>
    </xdr:from>
    <xdr:ext cx="76200" cy="279048"/>
    <xdr:sp macro="" textlink="">
      <xdr:nvSpPr>
        <xdr:cNvPr id="320" name="Text Box 28">
          <a:extLst>
            <a:ext uri="{FF2B5EF4-FFF2-40B4-BE49-F238E27FC236}">
              <a16:creationId xmlns:a16="http://schemas.microsoft.com/office/drawing/2014/main" id="{1D90BB5E-0701-438A-B3A8-16E7CC1110F1}"/>
            </a:ext>
          </a:extLst>
        </xdr:cNvPr>
        <xdr:cNvSpPr txBox="1">
          <a:spLocks noChangeArrowheads="1"/>
        </xdr:cNvSpPr>
      </xdr:nvSpPr>
      <xdr:spPr bwMode="auto">
        <a:xfrm>
          <a:off x="9753600" y="18288000"/>
          <a:ext cx="76200" cy="2790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262888"/>
    <xdr:sp macro="" textlink="">
      <xdr:nvSpPr>
        <xdr:cNvPr id="321" name="Text Box 25">
          <a:extLst>
            <a:ext uri="{FF2B5EF4-FFF2-40B4-BE49-F238E27FC236}">
              <a16:creationId xmlns:a16="http://schemas.microsoft.com/office/drawing/2014/main" id="{759FA9EF-72E3-4086-8AB0-7B148299CA32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2628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262888"/>
    <xdr:sp macro="" textlink="">
      <xdr:nvSpPr>
        <xdr:cNvPr id="322" name="Text Box 26">
          <a:extLst>
            <a:ext uri="{FF2B5EF4-FFF2-40B4-BE49-F238E27FC236}">
              <a16:creationId xmlns:a16="http://schemas.microsoft.com/office/drawing/2014/main" id="{7C57963F-DACB-4618-9BD7-98502F5E52EE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2628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262888"/>
    <xdr:sp macro="" textlink="">
      <xdr:nvSpPr>
        <xdr:cNvPr id="323" name="Text Box 27">
          <a:extLst>
            <a:ext uri="{FF2B5EF4-FFF2-40B4-BE49-F238E27FC236}">
              <a16:creationId xmlns:a16="http://schemas.microsoft.com/office/drawing/2014/main" id="{4D768FAE-D4D3-43DC-9B11-AE32C873F68D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2628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262888"/>
    <xdr:sp macro="" textlink="">
      <xdr:nvSpPr>
        <xdr:cNvPr id="324" name="Text Box 28">
          <a:extLst>
            <a:ext uri="{FF2B5EF4-FFF2-40B4-BE49-F238E27FC236}">
              <a16:creationId xmlns:a16="http://schemas.microsoft.com/office/drawing/2014/main" id="{C790092F-D0C1-4813-A2A1-433A547F34B2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2628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257173"/>
    <xdr:sp macro="" textlink="">
      <xdr:nvSpPr>
        <xdr:cNvPr id="325" name="Text Box 25">
          <a:extLst>
            <a:ext uri="{FF2B5EF4-FFF2-40B4-BE49-F238E27FC236}">
              <a16:creationId xmlns:a16="http://schemas.microsoft.com/office/drawing/2014/main" id="{E1D53660-33A3-4FB4-B0F2-16EB8AD4B326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25717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257173"/>
    <xdr:sp macro="" textlink="">
      <xdr:nvSpPr>
        <xdr:cNvPr id="326" name="Text Box 26">
          <a:extLst>
            <a:ext uri="{FF2B5EF4-FFF2-40B4-BE49-F238E27FC236}">
              <a16:creationId xmlns:a16="http://schemas.microsoft.com/office/drawing/2014/main" id="{4BE9E216-CCC3-4435-BC46-F10FDDD050D6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25717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257173"/>
    <xdr:sp macro="" textlink="">
      <xdr:nvSpPr>
        <xdr:cNvPr id="327" name="Text Box 27">
          <a:extLst>
            <a:ext uri="{FF2B5EF4-FFF2-40B4-BE49-F238E27FC236}">
              <a16:creationId xmlns:a16="http://schemas.microsoft.com/office/drawing/2014/main" id="{D2DF524A-AA91-45DE-A442-6EFD24673C54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25717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257173"/>
    <xdr:sp macro="" textlink="">
      <xdr:nvSpPr>
        <xdr:cNvPr id="328" name="Text Box 28">
          <a:extLst>
            <a:ext uri="{FF2B5EF4-FFF2-40B4-BE49-F238E27FC236}">
              <a16:creationId xmlns:a16="http://schemas.microsoft.com/office/drawing/2014/main" id="{03372E88-E209-49B9-B97D-80D572C5E5BB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25717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274320"/>
    <xdr:sp macro="" textlink="">
      <xdr:nvSpPr>
        <xdr:cNvPr id="329" name="Text Box 25">
          <a:extLst>
            <a:ext uri="{FF2B5EF4-FFF2-40B4-BE49-F238E27FC236}">
              <a16:creationId xmlns:a16="http://schemas.microsoft.com/office/drawing/2014/main" id="{B52D068E-A959-4894-B807-39F873C0DBA0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2743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274320"/>
    <xdr:sp macro="" textlink="">
      <xdr:nvSpPr>
        <xdr:cNvPr id="330" name="Text Box 26">
          <a:extLst>
            <a:ext uri="{FF2B5EF4-FFF2-40B4-BE49-F238E27FC236}">
              <a16:creationId xmlns:a16="http://schemas.microsoft.com/office/drawing/2014/main" id="{2ADE5322-94D4-4E7B-A4D8-E9DC1777ACCA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2743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274320"/>
    <xdr:sp macro="" textlink="">
      <xdr:nvSpPr>
        <xdr:cNvPr id="331" name="Text Box 27">
          <a:extLst>
            <a:ext uri="{FF2B5EF4-FFF2-40B4-BE49-F238E27FC236}">
              <a16:creationId xmlns:a16="http://schemas.microsoft.com/office/drawing/2014/main" id="{F34038CC-F379-4711-9DD1-94F90CE4D81A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2743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274320"/>
    <xdr:sp macro="" textlink="">
      <xdr:nvSpPr>
        <xdr:cNvPr id="332" name="Text Box 28">
          <a:extLst>
            <a:ext uri="{FF2B5EF4-FFF2-40B4-BE49-F238E27FC236}">
              <a16:creationId xmlns:a16="http://schemas.microsoft.com/office/drawing/2014/main" id="{A6CA9D67-9FD8-4235-90F2-C409DA43FDD2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2743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257177"/>
    <xdr:sp macro="" textlink="">
      <xdr:nvSpPr>
        <xdr:cNvPr id="333" name="Text Box 25">
          <a:extLst>
            <a:ext uri="{FF2B5EF4-FFF2-40B4-BE49-F238E27FC236}">
              <a16:creationId xmlns:a16="http://schemas.microsoft.com/office/drawing/2014/main" id="{815E676A-BB0F-4EC9-BCEB-BB3454203040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2571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257177"/>
    <xdr:sp macro="" textlink="">
      <xdr:nvSpPr>
        <xdr:cNvPr id="334" name="Text Box 26">
          <a:extLst>
            <a:ext uri="{FF2B5EF4-FFF2-40B4-BE49-F238E27FC236}">
              <a16:creationId xmlns:a16="http://schemas.microsoft.com/office/drawing/2014/main" id="{A450506D-A4F0-415F-8295-AC257665F591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2571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257177"/>
    <xdr:sp macro="" textlink="">
      <xdr:nvSpPr>
        <xdr:cNvPr id="335" name="Text Box 27">
          <a:extLst>
            <a:ext uri="{FF2B5EF4-FFF2-40B4-BE49-F238E27FC236}">
              <a16:creationId xmlns:a16="http://schemas.microsoft.com/office/drawing/2014/main" id="{EA7E243C-B44A-4627-A92C-5C1264000F7A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2571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257177"/>
    <xdr:sp macro="" textlink="">
      <xdr:nvSpPr>
        <xdr:cNvPr id="336" name="Text Box 28">
          <a:extLst>
            <a:ext uri="{FF2B5EF4-FFF2-40B4-BE49-F238E27FC236}">
              <a16:creationId xmlns:a16="http://schemas.microsoft.com/office/drawing/2014/main" id="{D8CF238D-37F0-4C46-BCDD-873F53A570F7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2571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257172"/>
    <xdr:sp macro="" textlink="">
      <xdr:nvSpPr>
        <xdr:cNvPr id="337" name="Text Box 25">
          <a:extLst>
            <a:ext uri="{FF2B5EF4-FFF2-40B4-BE49-F238E27FC236}">
              <a16:creationId xmlns:a16="http://schemas.microsoft.com/office/drawing/2014/main" id="{8BDDD927-D9DE-43D7-85F8-308E88DC3E31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2571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257172"/>
    <xdr:sp macro="" textlink="">
      <xdr:nvSpPr>
        <xdr:cNvPr id="338" name="Text Box 26">
          <a:extLst>
            <a:ext uri="{FF2B5EF4-FFF2-40B4-BE49-F238E27FC236}">
              <a16:creationId xmlns:a16="http://schemas.microsoft.com/office/drawing/2014/main" id="{86452C11-6667-4E51-9A45-4876BAF749BC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2571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257172"/>
    <xdr:sp macro="" textlink="">
      <xdr:nvSpPr>
        <xdr:cNvPr id="339" name="Text Box 27">
          <a:extLst>
            <a:ext uri="{FF2B5EF4-FFF2-40B4-BE49-F238E27FC236}">
              <a16:creationId xmlns:a16="http://schemas.microsoft.com/office/drawing/2014/main" id="{1E916257-8617-4993-8A15-6AAEDBB707D3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2571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257172"/>
    <xdr:sp macro="" textlink="">
      <xdr:nvSpPr>
        <xdr:cNvPr id="340" name="Text Box 28">
          <a:extLst>
            <a:ext uri="{FF2B5EF4-FFF2-40B4-BE49-F238E27FC236}">
              <a16:creationId xmlns:a16="http://schemas.microsoft.com/office/drawing/2014/main" id="{FFA76247-C6AE-42BE-A6D8-2EE83674F72A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2571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238126"/>
    <xdr:sp macro="" textlink="">
      <xdr:nvSpPr>
        <xdr:cNvPr id="341" name="Text Box 25">
          <a:extLst>
            <a:ext uri="{FF2B5EF4-FFF2-40B4-BE49-F238E27FC236}">
              <a16:creationId xmlns:a16="http://schemas.microsoft.com/office/drawing/2014/main" id="{6FBC8124-6DB4-4123-BAF9-CBAEF2A85F4A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2381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238126"/>
    <xdr:sp macro="" textlink="">
      <xdr:nvSpPr>
        <xdr:cNvPr id="342" name="Text Box 26">
          <a:extLst>
            <a:ext uri="{FF2B5EF4-FFF2-40B4-BE49-F238E27FC236}">
              <a16:creationId xmlns:a16="http://schemas.microsoft.com/office/drawing/2014/main" id="{9DABEE34-440E-4923-AB3D-9B35C9C78A37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2381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238126"/>
    <xdr:sp macro="" textlink="">
      <xdr:nvSpPr>
        <xdr:cNvPr id="343" name="Text Box 27">
          <a:extLst>
            <a:ext uri="{FF2B5EF4-FFF2-40B4-BE49-F238E27FC236}">
              <a16:creationId xmlns:a16="http://schemas.microsoft.com/office/drawing/2014/main" id="{6FC0B5DC-04E5-4BD0-BD27-0020C2C503BD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2381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112</xdr:row>
      <xdr:rowOff>0</xdr:rowOff>
    </xdr:from>
    <xdr:ext cx="76200" cy="238126"/>
    <xdr:sp macro="" textlink="">
      <xdr:nvSpPr>
        <xdr:cNvPr id="344" name="Text Box 28">
          <a:extLst>
            <a:ext uri="{FF2B5EF4-FFF2-40B4-BE49-F238E27FC236}">
              <a16:creationId xmlns:a16="http://schemas.microsoft.com/office/drawing/2014/main" id="{24BDE466-0720-4FDD-9BD9-025856F4D286}"/>
            </a:ext>
          </a:extLst>
        </xdr:cNvPr>
        <xdr:cNvSpPr txBox="1">
          <a:spLocks noChangeArrowheads="1"/>
        </xdr:cNvSpPr>
      </xdr:nvSpPr>
      <xdr:spPr bwMode="auto">
        <a:xfrm>
          <a:off x="9753600" y="20116800"/>
          <a:ext cx="76200" cy="2381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112</xdr:row>
      <xdr:rowOff>0</xdr:rowOff>
    </xdr:from>
    <xdr:ext cx="76200" cy="264201"/>
    <xdr:sp macro="" textlink="">
      <xdr:nvSpPr>
        <xdr:cNvPr id="345" name="Text Box 27">
          <a:extLst>
            <a:ext uri="{FF2B5EF4-FFF2-40B4-BE49-F238E27FC236}">
              <a16:creationId xmlns:a16="http://schemas.microsoft.com/office/drawing/2014/main" id="{60AFBA0B-B096-4726-A37A-55E681F0EE7B}"/>
            </a:ext>
          </a:extLst>
        </xdr:cNvPr>
        <xdr:cNvSpPr txBox="1">
          <a:spLocks noChangeArrowheads="1"/>
        </xdr:cNvSpPr>
      </xdr:nvSpPr>
      <xdr:spPr bwMode="auto">
        <a:xfrm>
          <a:off x="5486400" y="20116800"/>
          <a:ext cx="76200" cy="2642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112</xdr:row>
      <xdr:rowOff>0</xdr:rowOff>
    </xdr:from>
    <xdr:ext cx="76200" cy="264204"/>
    <xdr:sp macro="" textlink="">
      <xdr:nvSpPr>
        <xdr:cNvPr id="346" name="Text Box 28">
          <a:extLst>
            <a:ext uri="{FF2B5EF4-FFF2-40B4-BE49-F238E27FC236}">
              <a16:creationId xmlns:a16="http://schemas.microsoft.com/office/drawing/2014/main" id="{B5B97AD7-2BD7-4B0D-9A9A-67F96D6EC4A6}"/>
            </a:ext>
          </a:extLst>
        </xdr:cNvPr>
        <xdr:cNvSpPr txBox="1">
          <a:spLocks noChangeArrowheads="1"/>
        </xdr:cNvSpPr>
      </xdr:nvSpPr>
      <xdr:spPr bwMode="auto">
        <a:xfrm>
          <a:off x="5486400" y="20116800"/>
          <a:ext cx="76200" cy="264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112</xdr:row>
      <xdr:rowOff>0</xdr:rowOff>
    </xdr:from>
    <xdr:ext cx="76200" cy="264202"/>
    <xdr:sp macro="" textlink="">
      <xdr:nvSpPr>
        <xdr:cNvPr id="347" name="Text Box 27">
          <a:extLst>
            <a:ext uri="{FF2B5EF4-FFF2-40B4-BE49-F238E27FC236}">
              <a16:creationId xmlns:a16="http://schemas.microsoft.com/office/drawing/2014/main" id="{3815C96A-EB08-48C5-8851-D22F2CA6ABE3}"/>
            </a:ext>
          </a:extLst>
        </xdr:cNvPr>
        <xdr:cNvSpPr txBox="1">
          <a:spLocks noChangeArrowheads="1"/>
        </xdr:cNvSpPr>
      </xdr:nvSpPr>
      <xdr:spPr bwMode="auto">
        <a:xfrm>
          <a:off x="5486400" y="2011680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112</xdr:row>
      <xdr:rowOff>0</xdr:rowOff>
    </xdr:from>
    <xdr:ext cx="76200" cy="264202"/>
    <xdr:sp macro="" textlink="">
      <xdr:nvSpPr>
        <xdr:cNvPr id="348" name="Text Box 28">
          <a:extLst>
            <a:ext uri="{FF2B5EF4-FFF2-40B4-BE49-F238E27FC236}">
              <a16:creationId xmlns:a16="http://schemas.microsoft.com/office/drawing/2014/main" id="{908DE7E7-7D90-4B55-AF99-1B3B1B075C54}"/>
            </a:ext>
          </a:extLst>
        </xdr:cNvPr>
        <xdr:cNvSpPr txBox="1">
          <a:spLocks noChangeArrowheads="1"/>
        </xdr:cNvSpPr>
      </xdr:nvSpPr>
      <xdr:spPr bwMode="auto">
        <a:xfrm>
          <a:off x="5486400" y="2011680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112</xdr:row>
      <xdr:rowOff>0</xdr:rowOff>
    </xdr:from>
    <xdr:ext cx="76200" cy="300486"/>
    <xdr:sp macro="" textlink="">
      <xdr:nvSpPr>
        <xdr:cNvPr id="349" name="Text Box 25">
          <a:extLst>
            <a:ext uri="{FF2B5EF4-FFF2-40B4-BE49-F238E27FC236}">
              <a16:creationId xmlns:a16="http://schemas.microsoft.com/office/drawing/2014/main" id="{CF12CB46-F3D2-4FAA-82A3-595A16C70543}"/>
            </a:ext>
          </a:extLst>
        </xdr:cNvPr>
        <xdr:cNvSpPr txBox="1">
          <a:spLocks noChangeArrowheads="1"/>
        </xdr:cNvSpPr>
      </xdr:nvSpPr>
      <xdr:spPr bwMode="auto">
        <a:xfrm>
          <a:off x="5486400" y="2011680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112</xdr:row>
      <xdr:rowOff>0</xdr:rowOff>
    </xdr:from>
    <xdr:ext cx="76200" cy="300486"/>
    <xdr:sp macro="" textlink="">
      <xdr:nvSpPr>
        <xdr:cNvPr id="350" name="Text Box 26">
          <a:extLst>
            <a:ext uri="{FF2B5EF4-FFF2-40B4-BE49-F238E27FC236}">
              <a16:creationId xmlns:a16="http://schemas.microsoft.com/office/drawing/2014/main" id="{DD5EDF8E-B8DD-4AA9-A425-CFA0E0B8199B}"/>
            </a:ext>
          </a:extLst>
        </xdr:cNvPr>
        <xdr:cNvSpPr txBox="1">
          <a:spLocks noChangeArrowheads="1"/>
        </xdr:cNvSpPr>
      </xdr:nvSpPr>
      <xdr:spPr bwMode="auto">
        <a:xfrm>
          <a:off x="5486400" y="2011680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112</xdr:row>
      <xdr:rowOff>0</xdr:rowOff>
    </xdr:from>
    <xdr:ext cx="76200" cy="300486"/>
    <xdr:sp macro="" textlink="">
      <xdr:nvSpPr>
        <xdr:cNvPr id="351" name="Text Box 27">
          <a:extLst>
            <a:ext uri="{FF2B5EF4-FFF2-40B4-BE49-F238E27FC236}">
              <a16:creationId xmlns:a16="http://schemas.microsoft.com/office/drawing/2014/main" id="{721EF5B8-8DA3-4399-803F-872689BCBF0C}"/>
            </a:ext>
          </a:extLst>
        </xdr:cNvPr>
        <xdr:cNvSpPr txBox="1">
          <a:spLocks noChangeArrowheads="1"/>
        </xdr:cNvSpPr>
      </xdr:nvSpPr>
      <xdr:spPr bwMode="auto">
        <a:xfrm>
          <a:off x="5486400" y="2011680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112</xdr:row>
      <xdr:rowOff>0</xdr:rowOff>
    </xdr:from>
    <xdr:ext cx="76200" cy="300486"/>
    <xdr:sp macro="" textlink="">
      <xdr:nvSpPr>
        <xdr:cNvPr id="352" name="Text Box 28">
          <a:extLst>
            <a:ext uri="{FF2B5EF4-FFF2-40B4-BE49-F238E27FC236}">
              <a16:creationId xmlns:a16="http://schemas.microsoft.com/office/drawing/2014/main" id="{59CC8EA9-CCF2-4218-B759-BFFE70582A5F}"/>
            </a:ext>
          </a:extLst>
        </xdr:cNvPr>
        <xdr:cNvSpPr txBox="1">
          <a:spLocks noChangeArrowheads="1"/>
        </xdr:cNvSpPr>
      </xdr:nvSpPr>
      <xdr:spPr bwMode="auto">
        <a:xfrm>
          <a:off x="5486400" y="2011680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112</xdr:row>
      <xdr:rowOff>0</xdr:rowOff>
    </xdr:from>
    <xdr:ext cx="76200" cy="281436"/>
    <xdr:sp macro="" textlink="">
      <xdr:nvSpPr>
        <xdr:cNvPr id="353" name="Text Box 25">
          <a:extLst>
            <a:ext uri="{FF2B5EF4-FFF2-40B4-BE49-F238E27FC236}">
              <a16:creationId xmlns:a16="http://schemas.microsoft.com/office/drawing/2014/main" id="{EC373692-A4EB-4822-8704-325BDC751B86}"/>
            </a:ext>
          </a:extLst>
        </xdr:cNvPr>
        <xdr:cNvSpPr txBox="1">
          <a:spLocks noChangeArrowheads="1"/>
        </xdr:cNvSpPr>
      </xdr:nvSpPr>
      <xdr:spPr bwMode="auto">
        <a:xfrm>
          <a:off x="5486400" y="2011680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112</xdr:row>
      <xdr:rowOff>0</xdr:rowOff>
    </xdr:from>
    <xdr:ext cx="76200" cy="281436"/>
    <xdr:sp macro="" textlink="">
      <xdr:nvSpPr>
        <xdr:cNvPr id="354" name="Text Box 26">
          <a:extLst>
            <a:ext uri="{FF2B5EF4-FFF2-40B4-BE49-F238E27FC236}">
              <a16:creationId xmlns:a16="http://schemas.microsoft.com/office/drawing/2014/main" id="{CC6161DC-857C-4900-BC79-8B875144EDFE}"/>
            </a:ext>
          </a:extLst>
        </xdr:cNvPr>
        <xdr:cNvSpPr txBox="1">
          <a:spLocks noChangeArrowheads="1"/>
        </xdr:cNvSpPr>
      </xdr:nvSpPr>
      <xdr:spPr bwMode="auto">
        <a:xfrm>
          <a:off x="5486400" y="2011680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112</xdr:row>
      <xdr:rowOff>0</xdr:rowOff>
    </xdr:from>
    <xdr:ext cx="76200" cy="281436"/>
    <xdr:sp macro="" textlink="">
      <xdr:nvSpPr>
        <xdr:cNvPr id="355" name="Text Box 27">
          <a:extLst>
            <a:ext uri="{FF2B5EF4-FFF2-40B4-BE49-F238E27FC236}">
              <a16:creationId xmlns:a16="http://schemas.microsoft.com/office/drawing/2014/main" id="{2A542B54-B340-466D-A5EC-A111A1194BE2}"/>
            </a:ext>
          </a:extLst>
        </xdr:cNvPr>
        <xdr:cNvSpPr txBox="1">
          <a:spLocks noChangeArrowheads="1"/>
        </xdr:cNvSpPr>
      </xdr:nvSpPr>
      <xdr:spPr bwMode="auto">
        <a:xfrm>
          <a:off x="5486400" y="2011680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112</xdr:row>
      <xdr:rowOff>0</xdr:rowOff>
    </xdr:from>
    <xdr:ext cx="76200" cy="281436"/>
    <xdr:sp macro="" textlink="">
      <xdr:nvSpPr>
        <xdr:cNvPr id="356" name="Text Box 28">
          <a:extLst>
            <a:ext uri="{FF2B5EF4-FFF2-40B4-BE49-F238E27FC236}">
              <a16:creationId xmlns:a16="http://schemas.microsoft.com/office/drawing/2014/main" id="{CCF7BDAD-C72E-4C39-A4F4-EB26C33057AC}"/>
            </a:ext>
          </a:extLst>
        </xdr:cNvPr>
        <xdr:cNvSpPr txBox="1">
          <a:spLocks noChangeArrowheads="1"/>
        </xdr:cNvSpPr>
      </xdr:nvSpPr>
      <xdr:spPr bwMode="auto">
        <a:xfrm>
          <a:off x="5486400" y="2011680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112</xdr:row>
      <xdr:rowOff>0</xdr:rowOff>
    </xdr:from>
    <xdr:ext cx="76200" cy="41406"/>
    <xdr:sp macro="" textlink="">
      <xdr:nvSpPr>
        <xdr:cNvPr id="357" name="Text Box 26">
          <a:extLst>
            <a:ext uri="{FF2B5EF4-FFF2-40B4-BE49-F238E27FC236}">
              <a16:creationId xmlns:a16="http://schemas.microsoft.com/office/drawing/2014/main" id="{1BAB48FD-1913-46F1-8E46-E0D5E2D67915}"/>
            </a:ext>
          </a:extLst>
        </xdr:cNvPr>
        <xdr:cNvSpPr txBox="1">
          <a:spLocks noChangeArrowheads="1"/>
        </xdr:cNvSpPr>
      </xdr:nvSpPr>
      <xdr:spPr bwMode="auto">
        <a:xfrm>
          <a:off x="5486400" y="20116800"/>
          <a:ext cx="76200" cy="414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112</xdr:row>
      <xdr:rowOff>0</xdr:rowOff>
    </xdr:from>
    <xdr:ext cx="76200" cy="196215"/>
    <xdr:sp macro="" textlink="">
      <xdr:nvSpPr>
        <xdr:cNvPr id="358" name="Text Box 25">
          <a:extLst>
            <a:ext uri="{FF2B5EF4-FFF2-40B4-BE49-F238E27FC236}">
              <a16:creationId xmlns:a16="http://schemas.microsoft.com/office/drawing/2014/main" id="{3FA884B7-8B26-421D-9CCE-3EC44ED56100}"/>
            </a:ext>
          </a:extLst>
        </xdr:cNvPr>
        <xdr:cNvSpPr txBox="1">
          <a:spLocks noChangeArrowheads="1"/>
        </xdr:cNvSpPr>
      </xdr:nvSpPr>
      <xdr:spPr bwMode="auto">
        <a:xfrm>
          <a:off x="5486400" y="2011680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112</xdr:row>
      <xdr:rowOff>0</xdr:rowOff>
    </xdr:from>
    <xdr:ext cx="76200" cy="196215"/>
    <xdr:sp macro="" textlink="">
      <xdr:nvSpPr>
        <xdr:cNvPr id="359" name="Text Box 26">
          <a:extLst>
            <a:ext uri="{FF2B5EF4-FFF2-40B4-BE49-F238E27FC236}">
              <a16:creationId xmlns:a16="http://schemas.microsoft.com/office/drawing/2014/main" id="{07E08C9F-AE50-4EF9-A4B8-4E8474218ABB}"/>
            </a:ext>
          </a:extLst>
        </xdr:cNvPr>
        <xdr:cNvSpPr txBox="1">
          <a:spLocks noChangeArrowheads="1"/>
        </xdr:cNvSpPr>
      </xdr:nvSpPr>
      <xdr:spPr bwMode="auto">
        <a:xfrm>
          <a:off x="5486400" y="2011680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112</xdr:row>
      <xdr:rowOff>0</xdr:rowOff>
    </xdr:from>
    <xdr:ext cx="76200" cy="196215"/>
    <xdr:sp macro="" textlink="">
      <xdr:nvSpPr>
        <xdr:cNvPr id="360" name="Text Box 27">
          <a:extLst>
            <a:ext uri="{FF2B5EF4-FFF2-40B4-BE49-F238E27FC236}">
              <a16:creationId xmlns:a16="http://schemas.microsoft.com/office/drawing/2014/main" id="{755D73E2-2A32-43ED-A4C1-10736A9F81F1}"/>
            </a:ext>
          </a:extLst>
        </xdr:cNvPr>
        <xdr:cNvSpPr txBox="1">
          <a:spLocks noChangeArrowheads="1"/>
        </xdr:cNvSpPr>
      </xdr:nvSpPr>
      <xdr:spPr bwMode="auto">
        <a:xfrm>
          <a:off x="5486400" y="2011680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112</xdr:row>
      <xdr:rowOff>0</xdr:rowOff>
    </xdr:from>
    <xdr:ext cx="76200" cy="196215"/>
    <xdr:sp macro="" textlink="">
      <xdr:nvSpPr>
        <xdr:cNvPr id="361" name="Text Box 28">
          <a:extLst>
            <a:ext uri="{FF2B5EF4-FFF2-40B4-BE49-F238E27FC236}">
              <a16:creationId xmlns:a16="http://schemas.microsoft.com/office/drawing/2014/main" id="{4E5C5D11-44FC-48BA-8CF9-3A5843E143AB}"/>
            </a:ext>
          </a:extLst>
        </xdr:cNvPr>
        <xdr:cNvSpPr txBox="1">
          <a:spLocks noChangeArrowheads="1"/>
        </xdr:cNvSpPr>
      </xdr:nvSpPr>
      <xdr:spPr bwMode="auto">
        <a:xfrm>
          <a:off x="5486400" y="2011680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112</xdr:row>
      <xdr:rowOff>0</xdr:rowOff>
    </xdr:from>
    <xdr:ext cx="76200" cy="196215"/>
    <xdr:sp macro="" textlink="">
      <xdr:nvSpPr>
        <xdr:cNvPr id="362" name="Text Box 25">
          <a:extLst>
            <a:ext uri="{FF2B5EF4-FFF2-40B4-BE49-F238E27FC236}">
              <a16:creationId xmlns:a16="http://schemas.microsoft.com/office/drawing/2014/main" id="{7C038802-2647-4D10-B75B-3480FB0CE8B0}"/>
            </a:ext>
          </a:extLst>
        </xdr:cNvPr>
        <xdr:cNvSpPr txBox="1">
          <a:spLocks noChangeArrowheads="1"/>
        </xdr:cNvSpPr>
      </xdr:nvSpPr>
      <xdr:spPr bwMode="auto">
        <a:xfrm>
          <a:off x="5486400" y="2011680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112</xdr:row>
      <xdr:rowOff>0</xdr:rowOff>
    </xdr:from>
    <xdr:ext cx="76200" cy="196215"/>
    <xdr:sp macro="" textlink="">
      <xdr:nvSpPr>
        <xdr:cNvPr id="363" name="Text Box 26">
          <a:extLst>
            <a:ext uri="{FF2B5EF4-FFF2-40B4-BE49-F238E27FC236}">
              <a16:creationId xmlns:a16="http://schemas.microsoft.com/office/drawing/2014/main" id="{022E7702-3D87-4CA5-9250-AD3B42A00B14}"/>
            </a:ext>
          </a:extLst>
        </xdr:cNvPr>
        <xdr:cNvSpPr txBox="1">
          <a:spLocks noChangeArrowheads="1"/>
        </xdr:cNvSpPr>
      </xdr:nvSpPr>
      <xdr:spPr bwMode="auto">
        <a:xfrm>
          <a:off x="5486400" y="2011680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112</xdr:row>
      <xdr:rowOff>0</xdr:rowOff>
    </xdr:from>
    <xdr:ext cx="76200" cy="196215"/>
    <xdr:sp macro="" textlink="">
      <xdr:nvSpPr>
        <xdr:cNvPr id="364" name="Text Box 27">
          <a:extLst>
            <a:ext uri="{FF2B5EF4-FFF2-40B4-BE49-F238E27FC236}">
              <a16:creationId xmlns:a16="http://schemas.microsoft.com/office/drawing/2014/main" id="{A07E6D9D-98BF-4864-B305-3522EBE97EE6}"/>
            </a:ext>
          </a:extLst>
        </xdr:cNvPr>
        <xdr:cNvSpPr txBox="1">
          <a:spLocks noChangeArrowheads="1"/>
        </xdr:cNvSpPr>
      </xdr:nvSpPr>
      <xdr:spPr bwMode="auto">
        <a:xfrm>
          <a:off x="5486400" y="2011680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112</xdr:row>
      <xdr:rowOff>0</xdr:rowOff>
    </xdr:from>
    <xdr:ext cx="76200" cy="196215"/>
    <xdr:sp macro="" textlink="">
      <xdr:nvSpPr>
        <xdr:cNvPr id="365" name="Text Box 28">
          <a:extLst>
            <a:ext uri="{FF2B5EF4-FFF2-40B4-BE49-F238E27FC236}">
              <a16:creationId xmlns:a16="http://schemas.microsoft.com/office/drawing/2014/main" id="{B759E9B5-C5B6-4EA1-9625-9DB811056126}"/>
            </a:ext>
          </a:extLst>
        </xdr:cNvPr>
        <xdr:cNvSpPr txBox="1">
          <a:spLocks noChangeArrowheads="1"/>
        </xdr:cNvSpPr>
      </xdr:nvSpPr>
      <xdr:spPr bwMode="auto">
        <a:xfrm>
          <a:off x="5486400" y="2011680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112</xdr:row>
      <xdr:rowOff>0</xdr:rowOff>
    </xdr:from>
    <xdr:ext cx="76200" cy="264201"/>
    <xdr:sp macro="" textlink="">
      <xdr:nvSpPr>
        <xdr:cNvPr id="366" name="Text Box 27">
          <a:extLst>
            <a:ext uri="{FF2B5EF4-FFF2-40B4-BE49-F238E27FC236}">
              <a16:creationId xmlns:a16="http://schemas.microsoft.com/office/drawing/2014/main" id="{279EFEC5-C3BF-4016-AAA1-ECCF30063AA1}"/>
            </a:ext>
          </a:extLst>
        </xdr:cNvPr>
        <xdr:cNvSpPr txBox="1">
          <a:spLocks noChangeArrowheads="1"/>
        </xdr:cNvSpPr>
      </xdr:nvSpPr>
      <xdr:spPr bwMode="auto">
        <a:xfrm>
          <a:off x="6096000" y="20116800"/>
          <a:ext cx="76200" cy="2642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112</xdr:row>
      <xdr:rowOff>0</xdr:rowOff>
    </xdr:from>
    <xdr:ext cx="76200" cy="264204"/>
    <xdr:sp macro="" textlink="">
      <xdr:nvSpPr>
        <xdr:cNvPr id="367" name="Text Box 28">
          <a:extLst>
            <a:ext uri="{FF2B5EF4-FFF2-40B4-BE49-F238E27FC236}">
              <a16:creationId xmlns:a16="http://schemas.microsoft.com/office/drawing/2014/main" id="{ABC8E69F-1EF2-40BE-9146-0A4E13CF20AC}"/>
            </a:ext>
          </a:extLst>
        </xdr:cNvPr>
        <xdr:cNvSpPr txBox="1">
          <a:spLocks noChangeArrowheads="1"/>
        </xdr:cNvSpPr>
      </xdr:nvSpPr>
      <xdr:spPr bwMode="auto">
        <a:xfrm>
          <a:off x="6096000" y="20116800"/>
          <a:ext cx="76200" cy="264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112</xdr:row>
      <xdr:rowOff>0</xdr:rowOff>
    </xdr:from>
    <xdr:ext cx="76200" cy="264202"/>
    <xdr:sp macro="" textlink="">
      <xdr:nvSpPr>
        <xdr:cNvPr id="368" name="Text Box 27">
          <a:extLst>
            <a:ext uri="{FF2B5EF4-FFF2-40B4-BE49-F238E27FC236}">
              <a16:creationId xmlns:a16="http://schemas.microsoft.com/office/drawing/2014/main" id="{3020A0D6-3BAE-495F-AD8D-45BB21C6B5B0}"/>
            </a:ext>
          </a:extLst>
        </xdr:cNvPr>
        <xdr:cNvSpPr txBox="1">
          <a:spLocks noChangeArrowheads="1"/>
        </xdr:cNvSpPr>
      </xdr:nvSpPr>
      <xdr:spPr bwMode="auto">
        <a:xfrm>
          <a:off x="6096000" y="2011680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112</xdr:row>
      <xdr:rowOff>0</xdr:rowOff>
    </xdr:from>
    <xdr:ext cx="76200" cy="264202"/>
    <xdr:sp macro="" textlink="">
      <xdr:nvSpPr>
        <xdr:cNvPr id="369" name="Text Box 28">
          <a:extLst>
            <a:ext uri="{FF2B5EF4-FFF2-40B4-BE49-F238E27FC236}">
              <a16:creationId xmlns:a16="http://schemas.microsoft.com/office/drawing/2014/main" id="{E8959314-9D7B-4582-B5A8-C9A6F68F9718}"/>
            </a:ext>
          </a:extLst>
        </xdr:cNvPr>
        <xdr:cNvSpPr txBox="1">
          <a:spLocks noChangeArrowheads="1"/>
        </xdr:cNvSpPr>
      </xdr:nvSpPr>
      <xdr:spPr bwMode="auto">
        <a:xfrm>
          <a:off x="6096000" y="2011680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112</xdr:row>
      <xdr:rowOff>0</xdr:rowOff>
    </xdr:from>
    <xdr:ext cx="76200" cy="300486"/>
    <xdr:sp macro="" textlink="">
      <xdr:nvSpPr>
        <xdr:cNvPr id="370" name="Text Box 25">
          <a:extLst>
            <a:ext uri="{FF2B5EF4-FFF2-40B4-BE49-F238E27FC236}">
              <a16:creationId xmlns:a16="http://schemas.microsoft.com/office/drawing/2014/main" id="{80C41ADA-1B70-4C59-B401-6AB71DE7B44B}"/>
            </a:ext>
          </a:extLst>
        </xdr:cNvPr>
        <xdr:cNvSpPr txBox="1">
          <a:spLocks noChangeArrowheads="1"/>
        </xdr:cNvSpPr>
      </xdr:nvSpPr>
      <xdr:spPr bwMode="auto">
        <a:xfrm>
          <a:off x="6096000" y="2011680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112</xdr:row>
      <xdr:rowOff>0</xdr:rowOff>
    </xdr:from>
    <xdr:ext cx="76200" cy="300486"/>
    <xdr:sp macro="" textlink="">
      <xdr:nvSpPr>
        <xdr:cNvPr id="371" name="Text Box 26">
          <a:extLst>
            <a:ext uri="{FF2B5EF4-FFF2-40B4-BE49-F238E27FC236}">
              <a16:creationId xmlns:a16="http://schemas.microsoft.com/office/drawing/2014/main" id="{7024295F-D1A5-4AAB-87B0-90C747994DD3}"/>
            </a:ext>
          </a:extLst>
        </xdr:cNvPr>
        <xdr:cNvSpPr txBox="1">
          <a:spLocks noChangeArrowheads="1"/>
        </xdr:cNvSpPr>
      </xdr:nvSpPr>
      <xdr:spPr bwMode="auto">
        <a:xfrm>
          <a:off x="6096000" y="2011680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112</xdr:row>
      <xdr:rowOff>0</xdr:rowOff>
    </xdr:from>
    <xdr:ext cx="76200" cy="300486"/>
    <xdr:sp macro="" textlink="">
      <xdr:nvSpPr>
        <xdr:cNvPr id="372" name="Text Box 27">
          <a:extLst>
            <a:ext uri="{FF2B5EF4-FFF2-40B4-BE49-F238E27FC236}">
              <a16:creationId xmlns:a16="http://schemas.microsoft.com/office/drawing/2014/main" id="{E976B7F3-BD34-4E9B-94E0-9F9F7232BE33}"/>
            </a:ext>
          </a:extLst>
        </xdr:cNvPr>
        <xdr:cNvSpPr txBox="1">
          <a:spLocks noChangeArrowheads="1"/>
        </xdr:cNvSpPr>
      </xdr:nvSpPr>
      <xdr:spPr bwMode="auto">
        <a:xfrm>
          <a:off x="6096000" y="2011680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112</xdr:row>
      <xdr:rowOff>0</xdr:rowOff>
    </xdr:from>
    <xdr:ext cx="76200" cy="300486"/>
    <xdr:sp macro="" textlink="">
      <xdr:nvSpPr>
        <xdr:cNvPr id="373" name="Text Box 28">
          <a:extLst>
            <a:ext uri="{FF2B5EF4-FFF2-40B4-BE49-F238E27FC236}">
              <a16:creationId xmlns:a16="http://schemas.microsoft.com/office/drawing/2014/main" id="{39F4BB71-D236-400A-8272-E762A3B4DE2E}"/>
            </a:ext>
          </a:extLst>
        </xdr:cNvPr>
        <xdr:cNvSpPr txBox="1">
          <a:spLocks noChangeArrowheads="1"/>
        </xdr:cNvSpPr>
      </xdr:nvSpPr>
      <xdr:spPr bwMode="auto">
        <a:xfrm>
          <a:off x="6096000" y="2011680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112</xdr:row>
      <xdr:rowOff>0</xdr:rowOff>
    </xdr:from>
    <xdr:ext cx="76200" cy="281436"/>
    <xdr:sp macro="" textlink="">
      <xdr:nvSpPr>
        <xdr:cNvPr id="374" name="Text Box 25">
          <a:extLst>
            <a:ext uri="{FF2B5EF4-FFF2-40B4-BE49-F238E27FC236}">
              <a16:creationId xmlns:a16="http://schemas.microsoft.com/office/drawing/2014/main" id="{E8D5282A-CCA7-4411-9310-E1876FBEB9DA}"/>
            </a:ext>
          </a:extLst>
        </xdr:cNvPr>
        <xdr:cNvSpPr txBox="1">
          <a:spLocks noChangeArrowheads="1"/>
        </xdr:cNvSpPr>
      </xdr:nvSpPr>
      <xdr:spPr bwMode="auto">
        <a:xfrm>
          <a:off x="6096000" y="2011680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112</xdr:row>
      <xdr:rowOff>0</xdr:rowOff>
    </xdr:from>
    <xdr:ext cx="76200" cy="281436"/>
    <xdr:sp macro="" textlink="">
      <xdr:nvSpPr>
        <xdr:cNvPr id="375" name="Text Box 26">
          <a:extLst>
            <a:ext uri="{FF2B5EF4-FFF2-40B4-BE49-F238E27FC236}">
              <a16:creationId xmlns:a16="http://schemas.microsoft.com/office/drawing/2014/main" id="{FF9DF17A-FF65-477D-95E9-952B453B63F8}"/>
            </a:ext>
          </a:extLst>
        </xdr:cNvPr>
        <xdr:cNvSpPr txBox="1">
          <a:spLocks noChangeArrowheads="1"/>
        </xdr:cNvSpPr>
      </xdr:nvSpPr>
      <xdr:spPr bwMode="auto">
        <a:xfrm>
          <a:off x="6096000" y="2011680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112</xdr:row>
      <xdr:rowOff>0</xdr:rowOff>
    </xdr:from>
    <xdr:ext cx="76200" cy="281436"/>
    <xdr:sp macro="" textlink="">
      <xdr:nvSpPr>
        <xdr:cNvPr id="376" name="Text Box 27">
          <a:extLst>
            <a:ext uri="{FF2B5EF4-FFF2-40B4-BE49-F238E27FC236}">
              <a16:creationId xmlns:a16="http://schemas.microsoft.com/office/drawing/2014/main" id="{088352DD-BE84-4F2A-A8EA-7E5DCC1846EB}"/>
            </a:ext>
          </a:extLst>
        </xdr:cNvPr>
        <xdr:cNvSpPr txBox="1">
          <a:spLocks noChangeArrowheads="1"/>
        </xdr:cNvSpPr>
      </xdr:nvSpPr>
      <xdr:spPr bwMode="auto">
        <a:xfrm>
          <a:off x="6096000" y="2011680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112</xdr:row>
      <xdr:rowOff>0</xdr:rowOff>
    </xdr:from>
    <xdr:ext cx="76200" cy="281436"/>
    <xdr:sp macro="" textlink="">
      <xdr:nvSpPr>
        <xdr:cNvPr id="377" name="Text Box 28">
          <a:extLst>
            <a:ext uri="{FF2B5EF4-FFF2-40B4-BE49-F238E27FC236}">
              <a16:creationId xmlns:a16="http://schemas.microsoft.com/office/drawing/2014/main" id="{1208A7A0-A47F-49B9-A7A3-A74599B0BEA9}"/>
            </a:ext>
          </a:extLst>
        </xdr:cNvPr>
        <xdr:cNvSpPr txBox="1">
          <a:spLocks noChangeArrowheads="1"/>
        </xdr:cNvSpPr>
      </xdr:nvSpPr>
      <xdr:spPr bwMode="auto">
        <a:xfrm>
          <a:off x="6096000" y="2011680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112</xdr:row>
      <xdr:rowOff>0</xdr:rowOff>
    </xdr:from>
    <xdr:ext cx="76200" cy="41406"/>
    <xdr:sp macro="" textlink="">
      <xdr:nvSpPr>
        <xdr:cNvPr id="378" name="Text Box 26">
          <a:extLst>
            <a:ext uri="{FF2B5EF4-FFF2-40B4-BE49-F238E27FC236}">
              <a16:creationId xmlns:a16="http://schemas.microsoft.com/office/drawing/2014/main" id="{B86FA567-6A65-45D0-9237-053DE90C2F84}"/>
            </a:ext>
          </a:extLst>
        </xdr:cNvPr>
        <xdr:cNvSpPr txBox="1">
          <a:spLocks noChangeArrowheads="1"/>
        </xdr:cNvSpPr>
      </xdr:nvSpPr>
      <xdr:spPr bwMode="auto">
        <a:xfrm>
          <a:off x="6096000" y="20116800"/>
          <a:ext cx="76200" cy="414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112</xdr:row>
      <xdr:rowOff>0</xdr:rowOff>
    </xdr:from>
    <xdr:ext cx="76200" cy="196215"/>
    <xdr:sp macro="" textlink="">
      <xdr:nvSpPr>
        <xdr:cNvPr id="379" name="Text Box 25">
          <a:extLst>
            <a:ext uri="{FF2B5EF4-FFF2-40B4-BE49-F238E27FC236}">
              <a16:creationId xmlns:a16="http://schemas.microsoft.com/office/drawing/2014/main" id="{A06C7D04-19AA-4B5E-8319-3A5D710A703A}"/>
            </a:ext>
          </a:extLst>
        </xdr:cNvPr>
        <xdr:cNvSpPr txBox="1">
          <a:spLocks noChangeArrowheads="1"/>
        </xdr:cNvSpPr>
      </xdr:nvSpPr>
      <xdr:spPr bwMode="auto">
        <a:xfrm>
          <a:off x="6096000" y="2011680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112</xdr:row>
      <xdr:rowOff>0</xdr:rowOff>
    </xdr:from>
    <xdr:ext cx="76200" cy="196215"/>
    <xdr:sp macro="" textlink="">
      <xdr:nvSpPr>
        <xdr:cNvPr id="380" name="Text Box 26">
          <a:extLst>
            <a:ext uri="{FF2B5EF4-FFF2-40B4-BE49-F238E27FC236}">
              <a16:creationId xmlns:a16="http://schemas.microsoft.com/office/drawing/2014/main" id="{1E344FCB-FC19-4DDD-932B-BDE2AF44085D}"/>
            </a:ext>
          </a:extLst>
        </xdr:cNvPr>
        <xdr:cNvSpPr txBox="1">
          <a:spLocks noChangeArrowheads="1"/>
        </xdr:cNvSpPr>
      </xdr:nvSpPr>
      <xdr:spPr bwMode="auto">
        <a:xfrm>
          <a:off x="6096000" y="2011680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112</xdr:row>
      <xdr:rowOff>0</xdr:rowOff>
    </xdr:from>
    <xdr:ext cx="76200" cy="196215"/>
    <xdr:sp macro="" textlink="">
      <xdr:nvSpPr>
        <xdr:cNvPr id="381" name="Text Box 27">
          <a:extLst>
            <a:ext uri="{FF2B5EF4-FFF2-40B4-BE49-F238E27FC236}">
              <a16:creationId xmlns:a16="http://schemas.microsoft.com/office/drawing/2014/main" id="{192A928F-ADED-4033-916B-815AB36DE144}"/>
            </a:ext>
          </a:extLst>
        </xdr:cNvPr>
        <xdr:cNvSpPr txBox="1">
          <a:spLocks noChangeArrowheads="1"/>
        </xdr:cNvSpPr>
      </xdr:nvSpPr>
      <xdr:spPr bwMode="auto">
        <a:xfrm>
          <a:off x="6096000" y="2011680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112</xdr:row>
      <xdr:rowOff>0</xdr:rowOff>
    </xdr:from>
    <xdr:ext cx="76200" cy="196215"/>
    <xdr:sp macro="" textlink="">
      <xdr:nvSpPr>
        <xdr:cNvPr id="382" name="Text Box 28">
          <a:extLst>
            <a:ext uri="{FF2B5EF4-FFF2-40B4-BE49-F238E27FC236}">
              <a16:creationId xmlns:a16="http://schemas.microsoft.com/office/drawing/2014/main" id="{D2510C58-93E1-4E91-BE34-AFE639901C8C}"/>
            </a:ext>
          </a:extLst>
        </xdr:cNvPr>
        <xdr:cNvSpPr txBox="1">
          <a:spLocks noChangeArrowheads="1"/>
        </xdr:cNvSpPr>
      </xdr:nvSpPr>
      <xdr:spPr bwMode="auto">
        <a:xfrm>
          <a:off x="6096000" y="2011680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112</xdr:row>
      <xdr:rowOff>0</xdr:rowOff>
    </xdr:from>
    <xdr:ext cx="76200" cy="196215"/>
    <xdr:sp macro="" textlink="">
      <xdr:nvSpPr>
        <xdr:cNvPr id="383" name="Text Box 25">
          <a:extLst>
            <a:ext uri="{FF2B5EF4-FFF2-40B4-BE49-F238E27FC236}">
              <a16:creationId xmlns:a16="http://schemas.microsoft.com/office/drawing/2014/main" id="{4FAD974C-2D98-4B57-90CC-28AF8A668750}"/>
            </a:ext>
          </a:extLst>
        </xdr:cNvPr>
        <xdr:cNvSpPr txBox="1">
          <a:spLocks noChangeArrowheads="1"/>
        </xdr:cNvSpPr>
      </xdr:nvSpPr>
      <xdr:spPr bwMode="auto">
        <a:xfrm>
          <a:off x="6096000" y="2011680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112</xdr:row>
      <xdr:rowOff>0</xdr:rowOff>
    </xdr:from>
    <xdr:ext cx="76200" cy="196215"/>
    <xdr:sp macro="" textlink="">
      <xdr:nvSpPr>
        <xdr:cNvPr id="384" name="Text Box 26">
          <a:extLst>
            <a:ext uri="{FF2B5EF4-FFF2-40B4-BE49-F238E27FC236}">
              <a16:creationId xmlns:a16="http://schemas.microsoft.com/office/drawing/2014/main" id="{0980177C-A45F-4F87-ADD3-9D0D158DBF25}"/>
            </a:ext>
          </a:extLst>
        </xdr:cNvPr>
        <xdr:cNvSpPr txBox="1">
          <a:spLocks noChangeArrowheads="1"/>
        </xdr:cNvSpPr>
      </xdr:nvSpPr>
      <xdr:spPr bwMode="auto">
        <a:xfrm>
          <a:off x="6096000" y="2011680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112</xdr:row>
      <xdr:rowOff>0</xdr:rowOff>
    </xdr:from>
    <xdr:ext cx="76200" cy="196215"/>
    <xdr:sp macro="" textlink="">
      <xdr:nvSpPr>
        <xdr:cNvPr id="385" name="Text Box 27">
          <a:extLst>
            <a:ext uri="{FF2B5EF4-FFF2-40B4-BE49-F238E27FC236}">
              <a16:creationId xmlns:a16="http://schemas.microsoft.com/office/drawing/2014/main" id="{B8D437A4-745A-4272-8A7B-EF81ED551286}"/>
            </a:ext>
          </a:extLst>
        </xdr:cNvPr>
        <xdr:cNvSpPr txBox="1">
          <a:spLocks noChangeArrowheads="1"/>
        </xdr:cNvSpPr>
      </xdr:nvSpPr>
      <xdr:spPr bwMode="auto">
        <a:xfrm>
          <a:off x="6096000" y="2011680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112</xdr:row>
      <xdr:rowOff>0</xdr:rowOff>
    </xdr:from>
    <xdr:ext cx="76200" cy="196215"/>
    <xdr:sp macro="" textlink="">
      <xdr:nvSpPr>
        <xdr:cNvPr id="386" name="Text Box 28">
          <a:extLst>
            <a:ext uri="{FF2B5EF4-FFF2-40B4-BE49-F238E27FC236}">
              <a16:creationId xmlns:a16="http://schemas.microsoft.com/office/drawing/2014/main" id="{421A21C1-E110-4286-9538-CAC1C3FE5688}"/>
            </a:ext>
          </a:extLst>
        </xdr:cNvPr>
        <xdr:cNvSpPr txBox="1">
          <a:spLocks noChangeArrowheads="1"/>
        </xdr:cNvSpPr>
      </xdr:nvSpPr>
      <xdr:spPr bwMode="auto">
        <a:xfrm>
          <a:off x="6096000" y="2011680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112</xdr:row>
      <xdr:rowOff>0</xdr:rowOff>
    </xdr:from>
    <xdr:ext cx="76200" cy="264201"/>
    <xdr:sp macro="" textlink="">
      <xdr:nvSpPr>
        <xdr:cNvPr id="387" name="Text Box 27">
          <a:extLst>
            <a:ext uri="{FF2B5EF4-FFF2-40B4-BE49-F238E27FC236}">
              <a16:creationId xmlns:a16="http://schemas.microsoft.com/office/drawing/2014/main" id="{7A3B1AFA-AC19-4CF3-978A-5949997354A8}"/>
            </a:ext>
          </a:extLst>
        </xdr:cNvPr>
        <xdr:cNvSpPr txBox="1">
          <a:spLocks noChangeArrowheads="1"/>
        </xdr:cNvSpPr>
      </xdr:nvSpPr>
      <xdr:spPr bwMode="auto">
        <a:xfrm>
          <a:off x="6705600" y="20116800"/>
          <a:ext cx="76200" cy="2642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112</xdr:row>
      <xdr:rowOff>0</xdr:rowOff>
    </xdr:from>
    <xdr:ext cx="76200" cy="264204"/>
    <xdr:sp macro="" textlink="">
      <xdr:nvSpPr>
        <xdr:cNvPr id="388" name="Text Box 28">
          <a:extLst>
            <a:ext uri="{FF2B5EF4-FFF2-40B4-BE49-F238E27FC236}">
              <a16:creationId xmlns:a16="http://schemas.microsoft.com/office/drawing/2014/main" id="{9FA28254-453C-464A-B74F-CA99A7C282C1}"/>
            </a:ext>
          </a:extLst>
        </xdr:cNvPr>
        <xdr:cNvSpPr txBox="1">
          <a:spLocks noChangeArrowheads="1"/>
        </xdr:cNvSpPr>
      </xdr:nvSpPr>
      <xdr:spPr bwMode="auto">
        <a:xfrm>
          <a:off x="6705600" y="20116800"/>
          <a:ext cx="76200" cy="264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112</xdr:row>
      <xdr:rowOff>0</xdr:rowOff>
    </xdr:from>
    <xdr:ext cx="76200" cy="264202"/>
    <xdr:sp macro="" textlink="">
      <xdr:nvSpPr>
        <xdr:cNvPr id="389" name="Text Box 27">
          <a:extLst>
            <a:ext uri="{FF2B5EF4-FFF2-40B4-BE49-F238E27FC236}">
              <a16:creationId xmlns:a16="http://schemas.microsoft.com/office/drawing/2014/main" id="{4FA77C8D-3726-4FFD-849E-E4C5505541B0}"/>
            </a:ext>
          </a:extLst>
        </xdr:cNvPr>
        <xdr:cNvSpPr txBox="1">
          <a:spLocks noChangeArrowheads="1"/>
        </xdr:cNvSpPr>
      </xdr:nvSpPr>
      <xdr:spPr bwMode="auto">
        <a:xfrm>
          <a:off x="6705600" y="2011680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112</xdr:row>
      <xdr:rowOff>0</xdr:rowOff>
    </xdr:from>
    <xdr:ext cx="76200" cy="264202"/>
    <xdr:sp macro="" textlink="">
      <xdr:nvSpPr>
        <xdr:cNvPr id="390" name="Text Box 28">
          <a:extLst>
            <a:ext uri="{FF2B5EF4-FFF2-40B4-BE49-F238E27FC236}">
              <a16:creationId xmlns:a16="http://schemas.microsoft.com/office/drawing/2014/main" id="{24502953-77A0-4881-9DAD-EA1C4CCE2E4F}"/>
            </a:ext>
          </a:extLst>
        </xdr:cNvPr>
        <xdr:cNvSpPr txBox="1">
          <a:spLocks noChangeArrowheads="1"/>
        </xdr:cNvSpPr>
      </xdr:nvSpPr>
      <xdr:spPr bwMode="auto">
        <a:xfrm>
          <a:off x="6705600" y="2011680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112</xdr:row>
      <xdr:rowOff>0</xdr:rowOff>
    </xdr:from>
    <xdr:ext cx="76200" cy="300486"/>
    <xdr:sp macro="" textlink="">
      <xdr:nvSpPr>
        <xdr:cNvPr id="391" name="Text Box 25">
          <a:extLst>
            <a:ext uri="{FF2B5EF4-FFF2-40B4-BE49-F238E27FC236}">
              <a16:creationId xmlns:a16="http://schemas.microsoft.com/office/drawing/2014/main" id="{46EF09AC-06F2-4D21-8485-B0E7086F4E81}"/>
            </a:ext>
          </a:extLst>
        </xdr:cNvPr>
        <xdr:cNvSpPr txBox="1">
          <a:spLocks noChangeArrowheads="1"/>
        </xdr:cNvSpPr>
      </xdr:nvSpPr>
      <xdr:spPr bwMode="auto">
        <a:xfrm>
          <a:off x="6705600" y="2011680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112</xdr:row>
      <xdr:rowOff>0</xdr:rowOff>
    </xdr:from>
    <xdr:ext cx="76200" cy="300486"/>
    <xdr:sp macro="" textlink="">
      <xdr:nvSpPr>
        <xdr:cNvPr id="392" name="Text Box 26">
          <a:extLst>
            <a:ext uri="{FF2B5EF4-FFF2-40B4-BE49-F238E27FC236}">
              <a16:creationId xmlns:a16="http://schemas.microsoft.com/office/drawing/2014/main" id="{575A34C1-DD2C-401F-A8F0-1C7B1BA33EB6}"/>
            </a:ext>
          </a:extLst>
        </xdr:cNvPr>
        <xdr:cNvSpPr txBox="1">
          <a:spLocks noChangeArrowheads="1"/>
        </xdr:cNvSpPr>
      </xdr:nvSpPr>
      <xdr:spPr bwMode="auto">
        <a:xfrm>
          <a:off x="6705600" y="2011680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112</xdr:row>
      <xdr:rowOff>0</xdr:rowOff>
    </xdr:from>
    <xdr:ext cx="76200" cy="300486"/>
    <xdr:sp macro="" textlink="">
      <xdr:nvSpPr>
        <xdr:cNvPr id="393" name="Text Box 27">
          <a:extLst>
            <a:ext uri="{FF2B5EF4-FFF2-40B4-BE49-F238E27FC236}">
              <a16:creationId xmlns:a16="http://schemas.microsoft.com/office/drawing/2014/main" id="{581305D4-D658-415B-8759-E178BA13C47B}"/>
            </a:ext>
          </a:extLst>
        </xdr:cNvPr>
        <xdr:cNvSpPr txBox="1">
          <a:spLocks noChangeArrowheads="1"/>
        </xdr:cNvSpPr>
      </xdr:nvSpPr>
      <xdr:spPr bwMode="auto">
        <a:xfrm>
          <a:off x="6705600" y="2011680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112</xdr:row>
      <xdr:rowOff>0</xdr:rowOff>
    </xdr:from>
    <xdr:ext cx="76200" cy="300486"/>
    <xdr:sp macro="" textlink="">
      <xdr:nvSpPr>
        <xdr:cNvPr id="394" name="Text Box 28">
          <a:extLst>
            <a:ext uri="{FF2B5EF4-FFF2-40B4-BE49-F238E27FC236}">
              <a16:creationId xmlns:a16="http://schemas.microsoft.com/office/drawing/2014/main" id="{E19CB977-22A0-4870-BA73-DFAD0218A817}"/>
            </a:ext>
          </a:extLst>
        </xdr:cNvPr>
        <xdr:cNvSpPr txBox="1">
          <a:spLocks noChangeArrowheads="1"/>
        </xdr:cNvSpPr>
      </xdr:nvSpPr>
      <xdr:spPr bwMode="auto">
        <a:xfrm>
          <a:off x="6705600" y="2011680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112</xdr:row>
      <xdr:rowOff>0</xdr:rowOff>
    </xdr:from>
    <xdr:ext cx="76200" cy="281436"/>
    <xdr:sp macro="" textlink="">
      <xdr:nvSpPr>
        <xdr:cNvPr id="395" name="Text Box 25">
          <a:extLst>
            <a:ext uri="{FF2B5EF4-FFF2-40B4-BE49-F238E27FC236}">
              <a16:creationId xmlns:a16="http://schemas.microsoft.com/office/drawing/2014/main" id="{B62F5437-11DC-42F3-AC89-A25C9F6F477E}"/>
            </a:ext>
          </a:extLst>
        </xdr:cNvPr>
        <xdr:cNvSpPr txBox="1">
          <a:spLocks noChangeArrowheads="1"/>
        </xdr:cNvSpPr>
      </xdr:nvSpPr>
      <xdr:spPr bwMode="auto">
        <a:xfrm>
          <a:off x="6705600" y="2011680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112</xdr:row>
      <xdr:rowOff>0</xdr:rowOff>
    </xdr:from>
    <xdr:ext cx="76200" cy="281436"/>
    <xdr:sp macro="" textlink="">
      <xdr:nvSpPr>
        <xdr:cNvPr id="396" name="Text Box 26">
          <a:extLst>
            <a:ext uri="{FF2B5EF4-FFF2-40B4-BE49-F238E27FC236}">
              <a16:creationId xmlns:a16="http://schemas.microsoft.com/office/drawing/2014/main" id="{4B93799D-8B63-4B15-B5DD-1C8F4B9B108D}"/>
            </a:ext>
          </a:extLst>
        </xdr:cNvPr>
        <xdr:cNvSpPr txBox="1">
          <a:spLocks noChangeArrowheads="1"/>
        </xdr:cNvSpPr>
      </xdr:nvSpPr>
      <xdr:spPr bwMode="auto">
        <a:xfrm>
          <a:off x="6705600" y="2011680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112</xdr:row>
      <xdr:rowOff>0</xdr:rowOff>
    </xdr:from>
    <xdr:ext cx="76200" cy="281436"/>
    <xdr:sp macro="" textlink="">
      <xdr:nvSpPr>
        <xdr:cNvPr id="397" name="Text Box 27">
          <a:extLst>
            <a:ext uri="{FF2B5EF4-FFF2-40B4-BE49-F238E27FC236}">
              <a16:creationId xmlns:a16="http://schemas.microsoft.com/office/drawing/2014/main" id="{0C52C84E-6C28-4DEE-AAFA-FE7126B6A313}"/>
            </a:ext>
          </a:extLst>
        </xdr:cNvPr>
        <xdr:cNvSpPr txBox="1">
          <a:spLocks noChangeArrowheads="1"/>
        </xdr:cNvSpPr>
      </xdr:nvSpPr>
      <xdr:spPr bwMode="auto">
        <a:xfrm>
          <a:off x="6705600" y="2011680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112</xdr:row>
      <xdr:rowOff>0</xdr:rowOff>
    </xdr:from>
    <xdr:ext cx="76200" cy="281436"/>
    <xdr:sp macro="" textlink="">
      <xdr:nvSpPr>
        <xdr:cNvPr id="398" name="Text Box 28">
          <a:extLst>
            <a:ext uri="{FF2B5EF4-FFF2-40B4-BE49-F238E27FC236}">
              <a16:creationId xmlns:a16="http://schemas.microsoft.com/office/drawing/2014/main" id="{82786C7C-9762-42A9-B48F-4E14372599B9}"/>
            </a:ext>
          </a:extLst>
        </xdr:cNvPr>
        <xdr:cNvSpPr txBox="1">
          <a:spLocks noChangeArrowheads="1"/>
        </xdr:cNvSpPr>
      </xdr:nvSpPr>
      <xdr:spPr bwMode="auto">
        <a:xfrm>
          <a:off x="6705600" y="2011680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112</xdr:row>
      <xdr:rowOff>0</xdr:rowOff>
    </xdr:from>
    <xdr:ext cx="76200" cy="41406"/>
    <xdr:sp macro="" textlink="">
      <xdr:nvSpPr>
        <xdr:cNvPr id="399" name="Text Box 26">
          <a:extLst>
            <a:ext uri="{FF2B5EF4-FFF2-40B4-BE49-F238E27FC236}">
              <a16:creationId xmlns:a16="http://schemas.microsoft.com/office/drawing/2014/main" id="{BA71B5D6-1285-4506-9DB2-A02EABEAD542}"/>
            </a:ext>
          </a:extLst>
        </xdr:cNvPr>
        <xdr:cNvSpPr txBox="1">
          <a:spLocks noChangeArrowheads="1"/>
        </xdr:cNvSpPr>
      </xdr:nvSpPr>
      <xdr:spPr bwMode="auto">
        <a:xfrm>
          <a:off x="6705600" y="20116800"/>
          <a:ext cx="76200" cy="414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112</xdr:row>
      <xdr:rowOff>0</xdr:rowOff>
    </xdr:from>
    <xdr:ext cx="76200" cy="196215"/>
    <xdr:sp macro="" textlink="">
      <xdr:nvSpPr>
        <xdr:cNvPr id="400" name="Text Box 25">
          <a:extLst>
            <a:ext uri="{FF2B5EF4-FFF2-40B4-BE49-F238E27FC236}">
              <a16:creationId xmlns:a16="http://schemas.microsoft.com/office/drawing/2014/main" id="{13C6303D-FD11-404A-A7AF-3B32FC1A2BBA}"/>
            </a:ext>
          </a:extLst>
        </xdr:cNvPr>
        <xdr:cNvSpPr txBox="1">
          <a:spLocks noChangeArrowheads="1"/>
        </xdr:cNvSpPr>
      </xdr:nvSpPr>
      <xdr:spPr bwMode="auto">
        <a:xfrm>
          <a:off x="6705600" y="2011680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112</xdr:row>
      <xdr:rowOff>0</xdr:rowOff>
    </xdr:from>
    <xdr:ext cx="76200" cy="196215"/>
    <xdr:sp macro="" textlink="">
      <xdr:nvSpPr>
        <xdr:cNvPr id="401" name="Text Box 26">
          <a:extLst>
            <a:ext uri="{FF2B5EF4-FFF2-40B4-BE49-F238E27FC236}">
              <a16:creationId xmlns:a16="http://schemas.microsoft.com/office/drawing/2014/main" id="{0271534D-8E75-4477-AB7D-8D1C4F93D18B}"/>
            </a:ext>
          </a:extLst>
        </xdr:cNvPr>
        <xdr:cNvSpPr txBox="1">
          <a:spLocks noChangeArrowheads="1"/>
        </xdr:cNvSpPr>
      </xdr:nvSpPr>
      <xdr:spPr bwMode="auto">
        <a:xfrm>
          <a:off x="6705600" y="2011680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112</xdr:row>
      <xdr:rowOff>0</xdr:rowOff>
    </xdr:from>
    <xdr:ext cx="76200" cy="196215"/>
    <xdr:sp macro="" textlink="">
      <xdr:nvSpPr>
        <xdr:cNvPr id="402" name="Text Box 27">
          <a:extLst>
            <a:ext uri="{FF2B5EF4-FFF2-40B4-BE49-F238E27FC236}">
              <a16:creationId xmlns:a16="http://schemas.microsoft.com/office/drawing/2014/main" id="{A30D56EB-FF88-4796-87F0-393AD29326E5}"/>
            </a:ext>
          </a:extLst>
        </xdr:cNvPr>
        <xdr:cNvSpPr txBox="1">
          <a:spLocks noChangeArrowheads="1"/>
        </xdr:cNvSpPr>
      </xdr:nvSpPr>
      <xdr:spPr bwMode="auto">
        <a:xfrm>
          <a:off x="6705600" y="2011680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112</xdr:row>
      <xdr:rowOff>0</xdr:rowOff>
    </xdr:from>
    <xdr:ext cx="76200" cy="196215"/>
    <xdr:sp macro="" textlink="">
      <xdr:nvSpPr>
        <xdr:cNvPr id="403" name="Text Box 28">
          <a:extLst>
            <a:ext uri="{FF2B5EF4-FFF2-40B4-BE49-F238E27FC236}">
              <a16:creationId xmlns:a16="http://schemas.microsoft.com/office/drawing/2014/main" id="{90AA0F81-71F8-4C17-8523-B03629B46349}"/>
            </a:ext>
          </a:extLst>
        </xdr:cNvPr>
        <xdr:cNvSpPr txBox="1">
          <a:spLocks noChangeArrowheads="1"/>
        </xdr:cNvSpPr>
      </xdr:nvSpPr>
      <xdr:spPr bwMode="auto">
        <a:xfrm>
          <a:off x="6705600" y="2011680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112</xdr:row>
      <xdr:rowOff>0</xdr:rowOff>
    </xdr:from>
    <xdr:ext cx="76200" cy="196215"/>
    <xdr:sp macro="" textlink="">
      <xdr:nvSpPr>
        <xdr:cNvPr id="404" name="Text Box 25">
          <a:extLst>
            <a:ext uri="{FF2B5EF4-FFF2-40B4-BE49-F238E27FC236}">
              <a16:creationId xmlns:a16="http://schemas.microsoft.com/office/drawing/2014/main" id="{D9611571-884F-4BDE-BE7B-4985FF7CB081}"/>
            </a:ext>
          </a:extLst>
        </xdr:cNvPr>
        <xdr:cNvSpPr txBox="1">
          <a:spLocks noChangeArrowheads="1"/>
        </xdr:cNvSpPr>
      </xdr:nvSpPr>
      <xdr:spPr bwMode="auto">
        <a:xfrm>
          <a:off x="6705600" y="2011680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112</xdr:row>
      <xdr:rowOff>0</xdr:rowOff>
    </xdr:from>
    <xdr:ext cx="76200" cy="196215"/>
    <xdr:sp macro="" textlink="">
      <xdr:nvSpPr>
        <xdr:cNvPr id="405" name="Text Box 26">
          <a:extLst>
            <a:ext uri="{FF2B5EF4-FFF2-40B4-BE49-F238E27FC236}">
              <a16:creationId xmlns:a16="http://schemas.microsoft.com/office/drawing/2014/main" id="{B3B4A164-4EE5-42E7-B914-1B5843730D68}"/>
            </a:ext>
          </a:extLst>
        </xdr:cNvPr>
        <xdr:cNvSpPr txBox="1">
          <a:spLocks noChangeArrowheads="1"/>
        </xdr:cNvSpPr>
      </xdr:nvSpPr>
      <xdr:spPr bwMode="auto">
        <a:xfrm>
          <a:off x="6705600" y="2011680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112</xdr:row>
      <xdr:rowOff>0</xdr:rowOff>
    </xdr:from>
    <xdr:ext cx="76200" cy="196215"/>
    <xdr:sp macro="" textlink="">
      <xdr:nvSpPr>
        <xdr:cNvPr id="406" name="Text Box 27">
          <a:extLst>
            <a:ext uri="{FF2B5EF4-FFF2-40B4-BE49-F238E27FC236}">
              <a16:creationId xmlns:a16="http://schemas.microsoft.com/office/drawing/2014/main" id="{5D0B0A82-8793-41BE-A3C5-AF074ED04284}"/>
            </a:ext>
          </a:extLst>
        </xdr:cNvPr>
        <xdr:cNvSpPr txBox="1">
          <a:spLocks noChangeArrowheads="1"/>
        </xdr:cNvSpPr>
      </xdr:nvSpPr>
      <xdr:spPr bwMode="auto">
        <a:xfrm>
          <a:off x="6705600" y="2011680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112</xdr:row>
      <xdr:rowOff>0</xdr:rowOff>
    </xdr:from>
    <xdr:ext cx="76200" cy="196215"/>
    <xdr:sp macro="" textlink="">
      <xdr:nvSpPr>
        <xdr:cNvPr id="407" name="Text Box 28">
          <a:extLst>
            <a:ext uri="{FF2B5EF4-FFF2-40B4-BE49-F238E27FC236}">
              <a16:creationId xmlns:a16="http://schemas.microsoft.com/office/drawing/2014/main" id="{4807E550-4A28-40AC-99D6-948E91CEB9E4}"/>
            </a:ext>
          </a:extLst>
        </xdr:cNvPr>
        <xdr:cNvSpPr txBox="1">
          <a:spLocks noChangeArrowheads="1"/>
        </xdr:cNvSpPr>
      </xdr:nvSpPr>
      <xdr:spPr bwMode="auto">
        <a:xfrm>
          <a:off x="6705600" y="2011680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55</xdr:row>
      <xdr:rowOff>0</xdr:rowOff>
    </xdr:from>
    <xdr:ext cx="76200" cy="275361"/>
    <xdr:sp macro="" textlink="">
      <xdr:nvSpPr>
        <xdr:cNvPr id="408" name="Text Box 26">
          <a:extLst>
            <a:ext uri="{FF2B5EF4-FFF2-40B4-BE49-F238E27FC236}">
              <a16:creationId xmlns:a16="http://schemas.microsoft.com/office/drawing/2014/main" id="{31C65197-F068-43A8-9532-2803A1D96833}"/>
            </a:ext>
          </a:extLst>
        </xdr:cNvPr>
        <xdr:cNvSpPr txBox="1">
          <a:spLocks noChangeArrowheads="1"/>
        </xdr:cNvSpPr>
      </xdr:nvSpPr>
      <xdr:spPr bwMode="auto">
        <a:xfrm>
          <a:off x="9753600" y="9692640"/>
          <a:ext cx="76200" cy="2753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24</xdr:row>
      <xdr:rowOff>0</xdr:rowOff>
    </xdr:from>
    <xdr:ext cx="76200" cy="275359"/>
    <xdr:sp macro="" textlink="">
      <xdr:nvSpPr>
        <xdr:cNvPr id="409" name="Text Box 27">
          <a:extLst>
            <a:ext uri="{FF2B5EF4-FFF2-40B4-BE49-F238E27FC236}">
              <a16:creationId xmlns:a16="http://schemas.microsoft.com/office/drawing/2014/main" id="{D7325B15-3241-4EC6-859E-FEC24EB78682}"/>
            </a:ext>
          </a:extLst>
        </xdr:cNvPr>
        <xdr:cNvSpPr txBox="1">
          <a:spLocks noChangeArrowheads="1"/>
        </xdr:cNvSpPr>
      </xdr:nvSpPr>
      <xdr:spPr bwMode="auto">
        <a:xfrm>
          <a:off x="9753600" y="3840480"/>
          <a:ext cx="76200" cy="2753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29</xdr:row>
      <xdr:rowOff>0</xdr:rowOff>
    </xdr:from>
    <xdr:ext cx="76200" cy="275361"/>
    <xdr:sp macro="" textlink="">
      <xdr:nvSpPr>
        <xdr:cNvPr id="410" name="Text Box 27">
          <a:extLst>
            <a:ext uri="{FF2B5EF4-FFF2-40B4-BE49-F238E27FC236}">
              <a16:creationId xmlns:a16="http://schemas.microsoft.com/office/drawing/2014/main" id="{DC3954B1-FB43-468C-8CB0-3D748D598751}"/>
            </a:ext>
          </a:extLst>
        </xdr:cNvPr>
        <xdr:cNvSpPr txBox="1">
          <a:spLocks noChangeArrowheads="1"/>
        </xdr:cNvSpPr>
      </xdr:nvSpPr>
      <xdr:spPr bwMode="auto">
        <a:xfrm>
          <a:off x="10363200" y="4754880"/>
          <a:ext cx="76200" cy="2753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29</xdr:row>
      <xdr:rowOff>0</xdr:rowOff>
    </xdr:from>
    <xdr:ext cx="76200" cy="275361"/>
    <xdr:sp macro="" textlink="">
      <xdr:nvSpPr>
        <xdr:cNvPr id="411" name="Text Box 28">
          <a:extLst>
            <a:ext uri="{FF2B5EF4-FFF2-40B4-BE49-F238E27FC236}">
              <a16:creationId xmlns:a16="http://schemas.microsoft.com/office/drawing/2014/main" id="{00405E2D-0F98-4EB8-A212-4F9AB9C589D7}"/>
            </a:ext>
          </a:extLst>
        </xdr:cNvPr>
        <xdr:cNvSpPr txBox="1">
          <a:spLocks noChangeArrowheads="1"/>
        </xdr:cNvSpPr>
      </xdr:nvSpPr>
      <xdr:spPr bwMode="auto">
        <a:xfrm>
          <a:off x="10363200" y="4754880"/>
          <a:ext cx="76200" cy="2753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29</xdr:row>
      <xdr:rowOff>0</xdr:rowOff>
    </xdr:from>
    <xdr:ext cx="76200" cy="275362"/>
    <xdr:sp macro="" textlink="">
      <xdr:nvSpPr>
        <xdr:cNvPr id="412" name="Text Box 28">
          <a:extLst>
            <a:ext uri="{FF2B5EF4-FFF2-40B4-BE49-F238E27FC236}">
              <a16:creationId xmlns:a16="http://schemas.microsoft.com/office/drawing/2014/main" id="{C8BDE19E-96CA-43CB-B544-6CA79B296411}"/>
            </a:ext>
          </a:extLst>
        </xdr:cNvPr>
        <xdr:cNvSpPr txBox="1">
          <a:spLocks noChangeArrowheads="1"/>
        </xdr:cNvSpPr>
      </xdr:nvSpPr>
      <xdr:spPr bwMode="auto">
        <a:xfrm>
          <a:off x="9753600" y="4754880"/>
          <a:ext cx="76200" cy="2753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5</xdr:row>
      <xdr:rowOff>0</xdr:rowOff>
    </xdr:from>
    <xdr:ext cx="76200" cy="274949"/>
    <xdr:sp macro="" textlink="">
      <xdr:nvSpPr>
        <xdr:cNvPr id="413" name="Text Box 25">
          <a:extLst>
            <a:ext uri="{FF2B5EF4-FFF2-40B4-BE49-F238E27FC236}">
              <a16:creationId xmlns:a16="http://schemas.microsoft.com/office/drawing/2014/main" id="{8877FB69-E0C6-40C7-AAAC-A2675FF765C2}"/>
            </a:ext>
          </a:extLst>
        </xdr:cNvPr>
        <xdr:cNvSpPr txBox="1">
          <a:spLocks noChangeArrowheads="1"/>
        </xdr:cNvSpPr>
      </xdr:nvSpPr>
      <xdr:spPr bwMode="auto">
        <a:xfrm>
          <a:off x="9753600" y="365760"/>
          <a:ext cx="76200" cy="2749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5</xdr:row>
      <xdr:rowOff>0</xdr:rowOff>
    </xdr:from>
    <xdr:ext cx="76200" cy="274949"/>
    <xdr:sp macro="" textlink="">
      <xdr:nvSpPr>
        <xdr:cNvPr id="414" name="Text Box 26">
          <a:extLst>
            <a:ext uri="{FF2B5EF4-FFF2-40B4-BE49-F238E27FC236}">
              <a16:creationId xmlns:a16="http://schemas.microsoft.com/office/drawing/2014/main" id="{DEDFD459-AB4E-4672-83BC-D1653EF6B2C4}"/>
            </a:ext>
          </a:extLst>
        </xdr:cNvPr>
        <xdr:cNvSpPr txBox="1">
          <a:spLocks noChangeArrowheads="1"/>
        </xdr:cNvSpPr>
      </xdr:nvSpPr>
      <xdr:spPr bwMode="auto">
        <a:xfrm>
          <a:off x="9753600" y="365760"/>
          <a:ext cx="76200" cy="2749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13</xdr:row>
      <xdr:rowOff>0</xdr:rowOff>
    </xdr:from>
    <xdr:ext cx="76200" cy="275359"/>
    <xdr:sp macro="" textlink="">
      <xdr:nvSpPr>
        <xdr:cNvPr id="415" name="Text Box 27">
          <a:extLst>
            <a:ext uri="{FF2B5EF4-FFF2-40B4-BE49-F238E27FC236}">
              <a16:creationId xmlns:a16="http://schemas.microsoft.com/office/drawing/2014/main" id="{D621A00B-0985-4A54-9B63-846E11DB0DDB}"/>
            </a:ext>
          </a:extLst>
        </xdr:cNvPr>
        <xdr:cNvSpPr txBox="1">
          <a:spLocks noChangeArrowheads="1"/>
        </xdr:cNvSpPr>
      </xdr:nvSpPr>
      <xdr:spPr bwMode="auto">
        <a:xfrm>
          <a:off x="9753600" y="1828800"/>
          <a:ext cx="76200" cy="2753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13</xdr:row>
      <xdr:rowOff>0</xdr:rowOff>
    </xdr:from>
    <xdr:ext cx="76200" cy="275359"/>
    <xdr:sp macro="" textlink="">
      <xdr:nvSpPr>
        <xdr:cNvPr id="416" name="Text Box 28">
          <a:extLst>
            <a:ext uri="{FF2B5EF4-FFF2-40B4-BE49-F238E27FC236}">
              <a16:creationId xmlns:a16="http://schemas.microsoft.com/office/drawing/2014/main" id="{09057184-D681-4377-81EE-D38AF996E2C5}"/>
            </a:ext>
          </a:extLst>
        </xdr:cNvPr>
        <xdr:cNvSpPr txBox="1">
          <a:spLocks noChangeArrowheads="1"/>
        </xdr:cNvSpPr>
      </xdr:nvSpPr>
      <xdr:spPr bwMode="auto">
        <a:xfrm>
          <a:off x="9753600" y="1828800"/>
          <a:ext cx="76200" cy="2753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19</xdr:row>
      <xdr:rowOff>0</xdr:rowOff>
    </xdr:from>
    <xdr:ext cx="76200" cy="300214"/>
    <xdr:sp macro="" textlink="">
      <xdr:nvSpPr>
        <xdr:cNvPr id="417" name="Text Box 25">
          <a:extLst>
            <a:ext uri="{FF2B5EF4-FFF2-40B4-BE49-F238E27FC236}">
              <a16:creationId xmlns:a16="http://schemas.microsoft.com/office/drawing/2014/main" id="{E65C9441-C93D-433C-8DC1-47AF867F3DC1}"/>
            </a:ext>
          </a:extLst>
        </xdr:cNvPr>
        <xdr:cNvSpPr txBox="1">
          <a:spLocks noChangeArrowheads="1"/>
        </xdr:cNvSpPr>
      </xdr:nvSpPr>
      <xdr:spPr bwMode="auto">
        <a:xfrm>
          <a:off x="9753600" y="2926080"/>
          <a:ext cx="76200" cy="3002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19</xdr:row>
      <xdr:rowOff>0</xdr:rowOff>
    </xdr:from>
    <xdr:ext cx="76200" cy="300214"/>
    <xdr:sp macro="" textlink="">
      <xdr:nvSpPr>
        <xdr:cNvPr id="418" name="Text Box 26">
          <a:extLst>
            <a:ext uri="{FF2B5EF4-FFF2-40B4-BE49-F238E27FC236}">
              <a16:creationId xmlns:a16="http://schemas.microsoft.com/office/drawing/2014/main" id="{FC9E7C4F-7109-4CBF-8675-3EA3EC0C99C7}"/>
            </a:ext>
          </a:extLst>
        </xdr:cNvPr>
        <xdr:cNvSpPr txBox="1">
          <a:spLocks noChangeArrowheads="1"/>
        </xdr:cNvSpPr>
      </xdr:nvSpPr>
      <xdr:spPr bwMode="auto">
        <a:xfrm>
          <a:off x="9753600" y="2926080"/>
          <a:ext cx="76200" cy="3002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19</xdr:row>
      <xdr:rowOff>0</xdr:rowOff>
    </xdr:from>
    <xdr:ext cx="76200" cy="300214"/>
    <xdr:sp macro="" textlink="">
      <xdr:nvSpPr>
        <xdr:cNvPr id="419" name="Text Box 27">
          <a:extLst>
            <a:ext uri="{FF2B5EF4-FFF2-40B4-BE49-F238E27FC236}">
              <a16:creationId xmlns:a16="http://schemas.microsoft.com/office/drawing/2014/main" id="{74B22CE1-BBDB-4EC7-9D4E-C17583F67D0D}"/>
            </a:ext>
          </a:extLst>
        </xdr:cNvPr>
        <xdr:cNvSpPr txBox="1">
          <a:spLocks noChangeArrowheads="1"/>
        </xdr:cNvSpPr>
      </xdr:nvSpPr>
      <xdr:spPr bwMode="auto">
        <a:xfrm>
          <a:off x="9753600" y="2926080"/>
          <a:ext cx="76200" cy="3002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19</xdr:row>
      <xdr:rowOff>0</xdr:rowOff>
    </xdr:from>
    <xdr:ext cx="76200" cy="300214"/>
    <xdr:sp macro="" textlink="">
      <xdr:nvSpPr>
        <xdr:cNvPr id="420" name="Text Box 28">
          <a:extLst>
            <a:ext uri="{FF2B5EF4-FFF2-40B4-BE49-F238E27FC236}">
              <a16:creationId xmlns:a16="http://schemas.microsoft.com/office/drawing/2014/main" id="{8B895563-98B3-4391-9616-C515938237FF}"/>
            </a:ext>
          </a:extLst>
        </xdr:cNvPr>
        <xdr:cNvSpPr txBox="1">
          <a:spLocks noChangeArrowheads="1"/>
        </xdr:cNvSpPr>
      </xdr:nvSpPr>
      <xdr:spPr bwMode="auto">
        <a:xfrm>
          <a:off x="9753600" y="2926080"/>
          <a:ext cx="76200" cy="3002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19</xdr:row>
      <xdr:rowOff>0</xdr:rowOff>
    </xdr:from>
    <xdr:ext cx="76200" cy="281164"/>
    <xdr:sp macro="" textlink="">
      <xdr:nvSpPr>
        <xdr:cNvPr id="421" name="Text Box 25">
          <a:extLst>
            <a:ext uri="{FF2B5EF4-FFF2-40B4-BE49-F238E27FC236}">
              <a16:creationId xmlns:a16="http://schemas.microsoft.com/office/drawing/2014/main" id="{02664FE3-F2DA-4C28-9725-2EDD0E38C852}"/>
            </a:ext>
          </a:extLst>
        </xdr:cNvPr>
        <xdr:cNvSpPr txBox="1">
          <a:spLocks noChangeArrowheads="1"/>
        </xdr:cNvSpPr>
      </xdr:nvSpPr>
      <xdr:spPr bwMode="auto">
        <a:xfrm>
          <a:off x="9753600" y="2926080"/>
          <a:ext cx="76200" cy="2811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19</xdr:row>
      <xdr:rowOff>0</xdr:rowOff>
    </xdr:from>
    <xdr:ext cx="76200" cy="281164"/>
    <xdr:sp macro="" textlink="">
      <xdr:nvSpPr>
        <xdr:cNvPr id="422" name="Text Box 26">
          <a:extLst>
            <a:ext uri="{FF2B5EF4-FFF2-40B4-BE49-F238E27FC236}">
              <a16:creationId xmlns:a16="http://schemas.microsoft.com/office/drawing/2014/main" id="{F539431D-1DF0-427D-B6F9-D335047B03F8}"/>
            </a:ext>
          </a:extLst>
        </xdr:cNvPr>
        <xdr:cNvSpPr txBox="1">
          <a:spLocks noChangeArrowheads="1"/>
        </xdr:cNvSpPr>
      </xdr:nvSpPr>
      <xdr:spPr bwMode="auto">
        <a:xfrm>
          <a:off x="9753600" y="2926080"/>
          <a:ext cx="76200" cy="2811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19</xdr:row>
      <xdr:rowOff>0</xdr:rowOff>
    </xdr:from>
    <xdr:ext cx="76200" cy="281164"/>
    <xdr:sp macro="" textlink="">
      <xdr:nvSpPr>
        <xdr:cNvPr id="423" name="Text Box 27">
          <a:extLst>
            <a:ext uri="{FF2B5EF4-FFF2-40B4-BE49-F238E27FC236}">
              <a16:creationId xmlns:a16="http://schemas.microsoft.com/office/drawing/2014/main" id="{742A46B6-7AB5-41DE-A182-E4E244FBD17F}"/>
            </a:ext>
          </a:extLst>
        </xdr:cNvPr>
        <xdr:cNvSpPr txBox="1">
          <a:spLocks noChangeArrowheads="1"/>
        </xdr:cNvSpPr>
      </xdr:nvSpPr>
      <xdr:spPr bwMode="auto">
        <a:xfrm>
          <a:off x="9753600" y="2926080"/>
          <a:ext cx="76200" cy="2811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19</xdr:row>
      <xdr:rowOff>0</xdr:rowOff>
    </xdr:from>
    <xdr:ext cx="76200" cy="281164"/>
    <xdr:sp macro="" textlink="">
      <xdr:nvSpPr>
        <xdr:cNvPr id="424" name="Text Box 28">
          <a:extLst>
            <a:ext uri="{FF2B5EF4-FFF2-40B4-BE49-F238E27FC236}">
              <a16:creationId xmlns:a16="http://schemas.microsoft.com/office/drawing/2014/main" id="{E4584DDA-95CB-4B39-AA03-556679D13618}"/>
            </a:ext>
          </a:extLst>
        </xdr:cNvPr>
        <xdr:cNvSpPr txBox="1">
          <a:spLocks noChangeArrowheads="1"/>
        </xdr:cNvSpPr>
      </xdr:nvSpPr>
      <xdr:spPr bwMode="auto">
        <a:xfrm>
          <a:off x="9753600" y="2926080"/>
          <a:ext cx="76200" cy="2811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18</xdr:row>
      <xdr:rowOff>0</xdr:rowOff>
    </xdr:from>
    <xdr:ext cx="76200" cy="41406"/>
    <xdr:sp macro="" textlink="">
      <xdr:nvSpPr>
        <xdr:cNvPr id="425" name="Text Box 26">
          <a:extLst>
            <a:ext uri="{FF2B5EF4-FFF2-40B4-BE49-F238E27FC236}">
              <a16:creationId xmlns:a16="http://schemas.microsoft.com/office/drawing/2014/main" id="{968288BC-3BE2-402E-8FE7-62DEF314F312}"/>
            </a:ext>
          </a:extLst>
        </xdr:cNvPr>
        <xdr:cNvSpPr txBox="1">
          <a:spLocks noChangeArrowheads="1"/>
        </xdr:cNvSpPr>
      </xdr:nvSpPr>
      <xdr:spPr bwMode="auto">
        <a:xfrm>
          <a:off x="9753600" y="2743200"/>
          <a:ext cx="76200" cy="414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8</xdr:row>
      <xdr:rowOff>0</xdr:rowOff>
    </xdr:from>
    <xdr:ext cx="76200" cy="196215"/>
    <xdr:sp macro="" textlink="">
      <xdr:nvSpPr>
        <xdr:cNvPr id="426" name="Text Box 25">
          <a:extLst>
            <a:ext uri="{FF2B5EF4-FFF2-40B4-BE49-F238E27FC236}">
              <a16:creationId xmlns:a16="http://schemas.microsoft.com/office/drawing/2014/main" id="{1390D076-5E18-4FC9-80F5-FB33B56367D9}"/>
            </a:ext>
          </a:extLst>
        </xdr:cNvPr>
        <xdr:cNvSpPr txBox="1">
          <a:spLocks noChangeArrowheads="1"/>
        </xdr:cNvSpPr>
      </xdr:nvSpPr>
      <xdr:spPr bwMode="auto">
        <a:xfrm>
          <a:off x="9753600" y="91440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8</xdr:row>
      <xdr:rowOff>0</xdr:rowOff>
    </xdr:from>
    <xdr:ext cx="76200" cy="196215"/>
    <xdr:sp macro="" textlink="">
      <xdr:nvSpPr>
        <xdr:cNvPr id="427" name="Text Box 26">
          <a:extLst>
            <a:ext uri="{FF2B5EF4-FFF2-40B4-BE49-F238E27FC236}">
              <a16:creationId xmlns:a16="http://schemas.microsoft.com/office/drawing/2014/main" id="{659EC1BB-8F5B-4F75-9623-0657900CF3F0}"/>
            </a:ext>
          </a:extLst>
        </xdr:cNvPr>
        <xdr:cNvSpPr txBox="1">
          <a:spLocks noChangeArrowheads="1"/>
        </xdr:cNvSpPr>
      </xdr:nvSpPr>
      <xdr:spPr bwMode="auto">
        <a:xfrm>
          <a:off x="9753600" y="91440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8</xdr:row>
      <xdr:rowOff>0</xdr:rowOff>
    </xdr:from>
    <xdr:ext cx="76200" cy="196215"/>
    <xdr:sp macro="" textlink="">
      <xdr:nvSpPr>
        <xdr:cNvPr id="428" name="Text Box 27">
          <a:extLst>
            <a:ext uri="{FF2B5EF4-FFF2-40B4-BE49-F238E27FC236}">
              <a16:creationId xmlns:a16="http://schemas.microsoft.com/office/drawing/2014/main" id="{B55993EA-9F23-4D23-8CA5-223AC3D495DE}"/>
            </a:ext>
          </a:extLst>
        </xdr:cNvPr>
        <xdr:cNvSpPr txBox="1">
          <a:spLocks noChangeArrowheads="1"/>
        </xdr:cNvSpPr>
      </xdr:nvSpPr>
      <xdr:spPr bwMode="auto">
        <a:xfrm>
          <a:off x="9753600" y="91440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8</xdr:row>
      <xdr:rowOff>0</xdr:rowOff>
    </xdr:from>
    <xdr:ext cx="76200" cy="196215"/>
    <xdr:sp macro="" textlink="">
      <xdr:nvSpPr>
        <xdr:cNvPr id="429" name="Text Box 28">
          <a:extLst>
            <a:ext uri="{FF2B5EF4-FFF2-40B4-BE49-F238E27FC236}">
              <a16:creationId xmlns:a16="http://schemas.microsoft.com/office/drawing/2014/main" id="{4D315658-46FB-420F-A255-7BA5870CB135}"/>
            </a:ext>
          </a:extLst>
        </xdr:cNvPr>
        <xdr:cNvSpPr txBox="1">
          <a:spLocks noChangeArrowheads="1"/>
        </xdr:cNvSpPr>
      </xdr:nvSpPr>
      <xdr:spPr bwMode="auto">
        <a:xfrm>
          <a:off x="9753600" y="91440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8</xdr:row>
      <xdr:rowOff>0</xdr:rowOff>
    </xdr:from>
    <xdr:ext cx="76200" cy="196215"/>
    <xdr:sp macro="" textlink="">
      <xdr:nvSpPr>
        <xdr:cNvPr id="430" name="Text Box 25">
          <a:extLst>
            <a:ext uri="{FF2B5EF4-FFF2-40B4-BE49-F238E27FC236}">
              <a16:creationId xmlns:a16="http://schemas.microsoft.com/office/drawing/2014/main" id="{284C983A-32E5-4887-8910-46FD27C6A83F}"/>
            </a:ext>
          </a:extLst>
        </xdr:cNvPr>
        <xdr:cNvSpPr txBox="1">
          <a:spLocks noChangeArrowheads="1"/>
        </xdr:cNvSpPr>
      </xdr:nvSpPr>
      <xdr:spPr bwMode="auto">
        <a:xfrm>
          <a:off x="9753600" y="91440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8</xdr:row>
      <xdr:rowOff>0</xdr:rowOff>
    </xdr:from>
    <xdr:ext cx="76200" cy="196215"/>
    <xdr:sp macro="" textlink="">
      <xdr:nvSpPr>
        <xdr:cNvPr id="431" name="Text Box 26">
          <a:extLst>
            <a:ext uri="{FF2B5EF4-FFF2-40B4-BE49-F238E27FC236}">
              <a16:creationId xmlns:a16="http://schemas.microsoft.com/office/drawing/2014/main" id="{C6027533-30AE-49B0-B2EC-667A848028ED}"/>
            </a:ext>
          </a:extLst>
        </xdr:cNvPr>
        <xdr:cNvSpPr txBox="1">
          <a:spLocks noChangeArrowheads="1"/>
        </xdr:cNvSpPr>
      </xdr:nvSpPr>
      <xdr:spPr bwMode="auto">
        <a:xfrm>
          <a:off x="9753600" y="91440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8</xdr:row>
      <xdr:rowOff>0</xdr:rowOff>
    </xdr:from>
    <xdr:ext cx="76200" cy="196215"/>
    <xdr:sp macro="" textlink="">
      <xdr:nvSpPr>
        <xdr:cNvPr id="432" name="Text Box 27">
          <a:extLst>
            <a:ext uri="{FF2B5EF4-FFF2-40B4-BE49-F238E27FC236}">
              <a16:creationId xmlns:a16="http://schemas.microsoft.com/office/drawing/2014/main" id="{D21D53D3-41FF-4C0E-BB06-873B7AC6AA5C}"/>
            </a:ext>
          </a:extLst>
        </xdr:cNvPr>
        <xdr:cNvSpPr txBox="1">
          <a:spLocks noChangeArrowheads="1"/>
        </xdr:cNvSpPr>
      </xdr:nvSpPr>
      <xdr:spPr bwMode="auto">
        <a:xfrm>
          <a:off x="9753600" y="91440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8</xdr:row>
      <xdr:rowOff>0</xdr:rowOff>
    </xdr:from>
    <xdr:ext cx="76200" cy="196215"/>
    <xdr:sp macro="" textlink="">
      <xdr:nvSpPr>
        <xdr:cNvPr id="433" name="Text Box 28">
          <a:extLst>
            <a:ext uri="{FF2B5EF4-FFF2-40B4-BE49-F238E27FC236}">
              <a16:creationId xmlns:a16="http://schemas.microsoft.com/office/drawing/2014/main" id="{26E9A2B1-356E-4C20-93B9-A164296FDBD9}"/>
            </a:ext>
          </a:extLst>
        </xdr:cNvPr>
        <xdr:cNvSpPr txBox="1">
          <a:spLocks noChangeArrowheads="1"/>
        </xdr:cNvSpPr>
      </xdr:nvSpPr>
      <xdr:spPr bwMode="auto">
        <a:xfrm>
          <a:off x="9753600" y="91440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24</xdr:row>
      <xdr:rowOff>0</xdr:rowOff>
    </xdr:from>
    <xdr:ext cx="76200" cy="264201"/>
    <xdr:sp macro="" textlink="">
      <xdr:nvSpPr>
        <xdr:cNvPr id="434" name="Text Box 27">
          <a:extLst>
            <a:ext uri="{FF2B5EF4-FFF2-40B4-BE49-F238E27FC236}">
              <a16:creationId xmlns:a16="http://schemas.microsoft.com/office/drawing/2014/main" id="{AFBF155F-2372-46DA-BDC1-88F8D7388DB8}"/>
            </a:ext>
          </a:extLst>
        </xdr:cNvPr>
        <xdr:cNvSpPr txBox="1">
          <a:spLocks noChangeArrowheads="1"/>
        </xdr:cNvSpPr>
      </xdr:nvSpPr>
      <xdr:spPr bwMode="auto">
        <a:xfrm>
          <a:off x="5486400" y="3840480"/>
          <a:ext cx="76200" cy="2642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29</xdr:row>
      <xdr:rowOff>0</xdr:rowOff>
    </xdr:from>
    <xdr:ext cx="76200" cy="264204"/>
    <xdr:sp macro="" textlink="">
      <xdr:nvSpPr>
        <xdr:cNvPr id="435" name="Text Box 28">
          <a:extLst>
            <a:ext uri="{FF2B5EF4-FFF2-40B4-BE49-F238E27FC236}">
              <a16:creationId xmlns:a16="http://schemas.microsoft.com/office/drawing/2014/main" id="{3D7FB210-7B4F-45E5-879C-13B0E71572B8}"/>
            </a:ext>
          </a:extLst>
        </xdr:cNvPr>
        <xdr:cNvSpPr txBox="1">
          <a:spLocks noChangeArrowheads="1"/>
        </xdr:cNvSpPr>
      </xdr:nvSpPr>
      <xdr:spPr bwMode="auto">
        <a:xfrm>
          <a:off x="5486400" y="4754880"/>
          <a:ext cx="76200" cy="264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13</xdr:row>
      <xdr:rowOff>0</xdr:rowOff>
    </xdr:from>
    <xdr:ext cx="76200" cy="264202"/>
    <xdr:sp macro="" textlink="">
      <xdr:nvSpPr>
        <xdr:cNvPr id="436" name="Text Box 27">
          <a:extLst>
            <a:ext uri="{FF2B5EF4-FFF2-40B4-BE49-F238E27FC236}">
              <a16:creationId xmlns:a16="http://schemas.microsoft.com/office/drawing/2014/main" id="{5D723D97-986E-4DA7-BC25-67E858840733}"/>
            </a:ext>
          </a:extLst>
        </xdr:cNvPr>
        <xdr:cNvSpPr txBox="1">
          <a:spLocks noChangeArrowheads="1"/>
        </xdr:cNvSpPr>
      </xdr:nvSpPr>
      <xdr:spPr bwMode="auto">
        <a:xfrm>
          <a:off x="5486400" y="182880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13</xdr:row>
      <xdr:rowOff>0</xdr:rowOff>
    </xdr:from>
    <xdr:ext cx="76200" cy="264202"/>
    <xdr:sp macro="" textlink="">
      <xdr:nvSpPr>
        <xdr:cNvPr id="437" name="Text Box 28">
          <a:extLst>
            <a:ext uri="{FF2B5EF4-FFF2-40B4-BE49-F238E27FC236}">
              <a16:creationId xmlns:a16="http://schemas.microsoft.com/office/drawing/2014/main" id="{C5D1233B-13CE-4D1C-BF29-428D8DA33EE4}"/>
            </a:ext>
          </a:extLst>
        </xdr:cNvPr>
        <xdr:cNvSpPr txBox="1">
          <a:spLocks noChangeArrowheads="1"/>
        </xdr:cNvSpPr>
      </xdr:nvSpPr>
      <xdr:spPr bwMode="auto">
        <a:xfrm>
          <a:off x="5486400" y="182880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19</xdr:row>
      <xdr:rowOff>0</xdr:rowOff>
    </xdr:from>
    <xdr:ext cx="76200" cy="300486"/>
    <xdr:sp macro="" textlink="">
      <xdr:nvSpPr>
        <xdr:cNvPr id="438" name="Text Box 25">
          <a:extLst>
            <a:ext uri="{FF2B5EF4-FFF2-40B4-BE49-F238E27FC236}">
              <a16:creationId xmlns:a16="http://schemas.microsoft.com/office/drawing/2014/main" id="{F417D195-EDB8-41FA-9D45-57F3AF735267}"/>
            </a:ext>
          </a:extLst>
        </xdr:cNvPr>
        <xdr:cNvSpPr txBox="1">
          <a:spLocks noChangeArrowheads="1"/>
        </xdr:cNvSpPr>
      </xdr:nvSpPr>
      <xdr:spPr bwMode="auto">
        <a:xfrm>
          <a:off x="5486400" y="292608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19</xdr:row>
      <xdr:rowOff>0</xdr:rowOff>
    </xdr:from>
    <xdr:ext cx="76200" cy="300486"/>
    <xdr:sp macro="" textlink="">
      <xdr:nvSpPr>
        <xdr:cNvPr id="439" name="Text Box 26">
          <a:extLst>
            <a:ext uri="{FF2B5EF4-FFF2-40B4-BE49-F238E27FC236}">
              <a16:creationId xmlns:a16="http://schemas.microsoft.com/office/drawing/2014/main" id="{A98A054D-F5A0-43C3-8993-AC2A0D4AD809}"/>
            </a:ext>
          </a:extLst>
        </xdr:cNvPr>
        <xdr:cNvSpPr txBox="1">
          <a:spLocks noChangeArrowheads="1"/>
        </xdr:cNvSpPr>
      </xdr:nvSpPr>
      <xdr:spPr bwMode="auto">
        <a:xfrm>
          <a:off x="5486400" y="292608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19</xdr:row>
      <xdr:rowOff>0</xdr:rowOff>
    </xdr:from>
    <xdr:ext cx="76200" cy="300486"/>
    <xdr:sp macro="" textlink="">
      <xdr:nvSpPr>
        <xdr:cNvPr id="440" name="Text Box 27">
          <a:extLst>
            <a:ext uri="{FF2B5EF4-FFF2-40B4-BE49-F238E27FC236}">
              <a16:creationId xmlns:a16="http://schemas.microsoft.com/office/drawing/2014/main" id="{4127FB61-448A-44F2-9ECC-5A9F1C9D0126}"/>
            </a:ext>
          </a:extLst>
        </xdr:cNvPr>
        <xdr:cNvSpPr txBox="1">
          <a:spLocks noChangeArrowheads="1"/>
        </xdr:cNvSpPr>
      </xdr:nvSpPr>
      <xdr:spPr bwMode="auto">
        <a:xfrm>
          <a:off x="5486400" y="292608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19</xdr:row>
      <xdr:rowOff>0</xdr:rowOff>
    </xdr:from>
    <xdr:ext cx="76200" cy="300486"/>
    <xdr:sp macro="" textlink="">
      <xdr:nvSpPr>
        <xdr:cNvPr id="441" name="Text Box 28">
          <a:extLst>
            <a:ext uri="{FF2B5EF4-FFF2-40B4-BE49-F238E27FC236}">
              <a16:creationId xmlns:a16="http://schemas.microsoft.com/office/drawing/2014/main" id="{E7E86B89-5348-47F3-B21A-19EB3FF8E159}"/>
            </a:ext>
          </a:extLst>
        </xdr:cNvPr>
        <xdr:cNvSpPr txBox="1">
          <a:spLocks noChangeArrowheads="1"/>
        </xdr:cNvSpPr>
      </xdr:nvSpPr>
      <xdr:spPr bwMode="auto">
        <a:xfrm>
          <a:off x="5486400" y="292608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19</xdr:row>
      <xdr:rowOff>0</xdr:rowOff>
    </xdr:from>
    <xdr:ext cx="76200" cy="281436"/>
    <xdr:sp macro="" textlink="">
      <xdr:nvSpPr>
        <xdr:cNvPr id="442" name="Text Box 25">
          <a:extLst>
            <a:ext uri="{FF2B5EF4-FFF2-40B4-BE49-F238E27FC236}">
              <a16:creationId xmlns:a16="http://schemas.microsoft.com/office/drawing/2014/main" id="{7F649145-5458-43CF-9F3F-CB57ED3D5C3B}"/>
            </a:ext>
          </a:extLst>
        </xdr:cNvPr>
        <xdr:cNvSpPr txBox="1">
          <a:spLocks noChangeArrowheads="1"/>
        </xdr:cNvSpPr>
      </xdr:nvSpPr>
      <xdr:spPr bwMode="auto">
        <a:xfrm>
          <a:off x="5486400" y="292608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19</xdr:row>
      <xdr:rowOff>0</xdr:rowOff>
    </xdr:from>
    <xdr:ext cx="76200" cy="281436"/>
    <xdr:sp macro="" textlink="">
      <xdr:nvSpPr>
        <xdr:cNvPr id="443" name="Text Box 26">
          <a:extLst>
            <a:ext uri="{FF2B5EF4-FFF2-40B4-BE49-F238E27FC236}">
              <a16:creationId xmlns:a16="http://schemas.microsoft.com/office/drawing/2014/main" id="{74ABC313-16A8-470C-B93A-C09644E1B0B3}"/>
            </a:ext>
          </a:extLst>
        </xdr:cNvPr>
        <xdr:cNvSpPr txBox="1">
          <a:spLocks noChangeArrowheads="1"/>
        </xdr:cNvSpPr>
      </xdr:nvSpPr>
      <xdr:spPr bwMode="auto">
        <a:xfrm>
          <a:off x="5486400" y="292608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19</xdr:row>
      <xdr:rowOff>0</xdr:rowOff>
    </xdr:from>
    <xdr:ext cx="76200" cy="281436"/>
    <xdr:sp macro="" textlink="">
      <xdr:nvSpPr>
        <xdr:cNvPr id="444" name="Text Box 27">
          <a:extLst>
            <a:ext uri="{FF2B5EF4-FFF2-40B4-BE49-F238E27FC236}">
              <a16:creationId xmlns:a16="http://schemas.microsoft.com/office/drawing/2014/main" id="{790C2EF6-DFBB-41C6-A657-9F49CB236B47}"/>
            </a:ext>
          </a:extLst>
        </xdr:cNvPr>
        <xdr:cNvSpPr txBox="1">
          <a:spLocks noChangeArrowheads="1"/>
        </xdr:cNvSpPr>
      </xdr:nvSpPr>
      <xdr:spPr bwMode="auto">
        <a:xfrm>
          <a:off x="5486400" y="292608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19</xdr:row>
      <xdr:rowOff>0</xdr:rowOff>
    </xdr:from>
    <xdr:ext cx="76200" cy="281436"/>
    <xdr:sp macro="" textlink="">
      <xdr:nvSpPr>
        <xdr:cNvPr id="445" name="Text Box 28">
          <a:extLst>
            <a:ext uri="{FF2B5EF4-FFF2-40B4-BE49-F238E27FC236}">
              <a16:creationId xmlns:a16="http://schemas.microsoft.com/office/drawing/2014/main" id="{04CB6FC6-0C6A-4D8E-865B-CBA3318BD8DB}"/>
            </a:ext>
          </a:extLst>
        </xdr:cNvPr>
        <xdr:cNvSpPr txBox="1">
          <a:spLocks noChangeArrowheads="1"/>
        </xdr:cNvSpPr>
      </xdr:nvSpPr>
      <xdr:spPr bwMode="auto">
        <a:xfrm>
          <a:off x="5486400" y="292608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18</xdr:row>
      <xdr:rowOff>0</xdr:rowOff>
    </xdr:from>
    <xdr:ext cx="76200" cy="41406"/>
    <xdr:sp macro="" textlink="">
      <xdr:nvSpPr>
        <xdr:cNvPr id="446" name="Text Box 26">
          <a:extLst>
            <a:ext uri="{FF2B5EF4-FFF2-40B4-BE49-F238E27FC236}">
              <a16:creationId xmlns:a16="http://schemas.microsoft.com/office/drawing/2014/main" id="{D7D63ACD-42FE-4E1D-8747-1449FF05029F}"/>
            </a:ext>
          </a:extLst>
        </xdr:cNvPr>
        <xdr:cNvSpPr txBox="1">
          <a:spLocks noChangeArrowheads="1"/>
        </xdr:cNvSpPr>
      </xdr:nvSpPr>
      <xdr:spPr bwMode="auto">
        <a:xfrm>
          <a:off x="5486400" y="2743200"/>
          <a:ext cx="76200" cy="414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</xdr:row>
      <xdr:rowOff>0</xdr:rowOff>
    </xdr:from>
    <xdr:ext cx="76200" cy="196215"/>
    <xdr:sp macro="" textlink="">
      <xdr:nvSpPr>
        <xdr:cNvPr id="447" name="Text Box 25">
          <a:extLst>
            <a:ext uri="{FF2B5EF4-FFF2-40B4-BE49-F238E27FC236}">
              <a16:creationId xmlns:a16="http://schemas.microsoft.com/office/drawing/2014/main" id="{3CFFCB08-67A7-4996-A185-A468B8B0D61E}"/>
            </a:ext>
          </a:extLst>
        </xdr:cNvPr>
        <xdr:cNvSpPr txBox="1">
          <a:spLocks noChangeArrowheads="1"/>
        </xdr:cNvSpPr>
      </xdr:nvSpPr>
      <xdr:spPr bwMode="auto">
        <a:xfrm>
          <a:off x="5486400" y="91440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</xdr:row>
      <xdr:rowOff>0</xdr:rowOff>
    </xdr:from>
    <xdr:ext cx="76200" cy="196215"/>
    <xdr:sp macro="" textlink="">
      <xdr:nvSpPr>
        <xdr:cNvPr id="448" name="Text Box 26">
          <a:extLst>
            <a:ext uri="{FF2B5EF4-FFF2-40B4-BE49-F238E27FC236}">
              <a16:creationId xmlns:a16="http://schemas.microsoft.com/office/drawing/2014/main" id="{1E39C6EA-8D83-4D5A-AE57-568EA57C3515}"/>
            </a:ext>
          </a:extLst>
        </xdr:cNvPr>
        <xdr:cNvSpPr txBox="1">
          <a:spLocks noChangeArrowheads="1"/>
        </xdr:cNvSpPr>
      </xdr:nvSpPr>
      <xdr:spPr bwMode="auto">
        <a:xfrm>
          <a:off x="5486400" y="91440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</xdr:row>
      <xdr:rowOff>0</xdr:rowOff>
    </xdr:from>
    <xdr:ext cx="76200" cy="196215"/>
    <xdr:sp macro="" textlink="">
      <xdr:nvSpPr>
        <xdr:cNvPr id="449" name="Text Box 27">
          <a:extLst>
            <a:ext uri="{FF2B5EF4-FFF2-40B4-BE49-F238E27FC236}">
              <a16:creationId xmlns:a16="http://schemas.microsoft.com/office/drawing/2014/main" id="{A9730EBB-E5AC-4E49-BBE9-120F58036BAE}"/>
            </a:ext>
          </a:extLst>
        </xdr:cNvPr>
        <xdr:cNvSpPr txBox="1">
          <a:spLocks noChangeArrowheads="1"/>
        </xdr:cNvSpPr>
      </xdr:nvSpPr>
      <xdr:spPr bwMode="auto">
        <a:xfrm>
          <a:off x="5486400" y="91440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</xdr:row>
      <xdr:rowOff>0</xdr:rowOff>
    </xdr:from>
    <xdr:ext cx="76200" cy="196215"/>
    <xdr:sp macro="" textlink="">
      <xdr:nvSpPr>
        <xdr:cNvPr id="450" name="Text Box 28">
          <a:extLst>
            <a:ext uri="{FF2B5EF4-FFF2-40B4-BE49-F238E27FC236}">
              <a16:creationId xmlns:a16="http://schemas.microsoft.com/office/drawing/2014/main" id="{366BCDF0-FAED-459F-8E88-B93268FEBF33}"/>
            </a:ext>
          </a:extLst>
        </xdr:cNvPr>
        <xdr:cNvSpPr txBox="1">
          <a:spLocks noChangeArrowheads="1"/>
        </xdr:cNvSpPr>
      </xdr:nvSpPr>
      <xdr:spPr bwMode="auto">
        <a:xfrm>
          <a:off x="5486400" y="91440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</xdr:row>
      <xdr:rowOff>0</xdr:rowOff>
    </xdr:from>
    <xdr:ext cx="76200" cy="196215"/>
    <xdr:sp macro="" textlink="">
      <xdr:nvSpPr>
        <xdr:cNvPr id="451" name="Text Box 25">
          <a:extLst>
            <a:ext uri="{FF2B5EF4-FFF2-40B4-BE49-F238E27FC236}">
              <a16:creationId xmlns:a16="http://schemas.microsoft.com/office/drawing/2014/main" id="{3B9B684F-E88D-47D5-A0D3-491B975C1F66}"/>
            </a:ext>
          </a:extLst>
        </xdr:cNvPr>
        <xdr:cNvSpPr txBox="1">
          <a:spLocks noChangeArrowheads="1"/>
        </xdr:cNvSpPr>
      </xdr:nvSpPr>
      <xdr:spPr bwMode="auto">
        <a:xfrm>
          <a:off x="5486400" y="91440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</xdr:row>
      <xdr:rowOff>0</xdr:rowOff>
    </xdr:from>
    <xdr:ext cx="76200" cy="196215"/>
    <xdr:sp macro="" textlink="">
      <xdr:nvSpPr>
        <xdr:cNvPr id="452" name="Text Box 26">
          <a:extLst>
            <a:ext uri="{FF2B5EF4-FFF2-40B4-BE49-F238E27FC236}">
              <a16:creationId xmlns:a16="http://schemas.microsoft.com/office/drawing/2014/main" id="{733B5249-6185-4330-A436-2EFFE4F674C6}"/>
            </a:ext>
          </a:extLst>
        </xdr:cNvPr>
        <xdr:cNvSpPr txBox="1">
          <a:spLocks noChangeArrowheads="1"/>
        </xdr:cNvSpPr>
      </xdr:nvSpPr>
      <xdr:spPr bwMode="auto">
        <a:xfrm>
          <a:off x="5486400" y="91440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</xdr:row>
      <xdr:rowOff>0</xdr:rowOff>
    </xdr:from>
    <xdr:ext cx="76200" cy="196215"/>
    <xdr:sp macro="" textlink="">
      <xdr:nvSpPr>
        <xdr:cNvPr id="453" name="Text Box 27">
          <a:extLst>
            <a:ext uri="{FF2B5EF4-FFF2-40B4-BE49-F238E27FC236}">
              <a16:creationId xmlns:a16="http://schemas.microsoft.com/office/drawing/2014/main" id="{119D8620-0DE8-4D17-889C-0D6E0826199A}"/>
            </a:ext>
          </a:extLst>
        </xdr:cNvPr>
        <xdr:cNvSpPr txBox="1">
          <a:spLocks noChangeArrowheads="1"/>
        </xdr:cNvSpPr>
      </xdr:nvSpPr>
      <xdr:spPr bwMode="auto">
        <a:xfrm>
          <a:off x="5486400" y="91440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</xdr:row>
      <xdr:rowOff>0</xdr:rowOff>
    </xdr:from>
    <xdr:ext cx="76200" cy="196215"/>
    <xdr:sp macro="" textlink="">
      <xdr:nvSpPr>
        <xdr:cNvPr id="454" name="Text Box 28">
          <a:extLst>
            <a:ext uri="{FF2B5EF4-FFF2-40B4-BE49-F238E27FC236}">
              <a16:creationId xmlns:a16="http://schemas.microsoft.com/office/drawing/2014/main" id="{9A7930C8-4710-462A-ABD9-4212240D6E5E}"/>
            </a:ext>
          </a:extLst>
        </xdr:cNvPr>
        <xdr:cNvSpPr txBox="1">
          <a:spLocks noChangeArrowheads="1"/>
        </xdr:cNvSpPr>
      </xdr:nvSpPr>
      <xdr:spPr bwMode="auto">
        <a:xfrm>
          <a:off x="5486400" y="91440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24</xdr:row>
      <xdr:rowOff>0</xdr:rowOff>
    </xdr:from>
    <xdr:ext cx="76200" cy="264201"/>
    <xdr:sp macro="" textlink="">
      <xdr:nvSpPr>
        <xdr:cNvPr id="455" name="Text Box 27">
          <a:extLst>
            <a:ext uri="{FF2B5EF4-FFF2-40B4-BE49-F238E27FC236}">
              <a16:creationId xmlns:a16="http://schemas.microsoft.com/office/drawing/2014/main" id="{732122EF-E809-464E-8F21-2A004ED06702}"/>
            </a:ext>
          </a:extLst>
        </xdr:cNvPr>
        <xdr:cNvSpPr txBox="1">
          <a:spLocks noChangeArrowheads="1"/>
        </xdr:cNvSpPr>
      </xdr:nvSpPr>
      <xdr:spPr bwMode="auto">
        <a:xfrm>
          <a:off x="6096000" y="3840480"/>
          <a:ext cx="76200" cy="2642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29</xdr:row>
      <xdr:rowOff>0</xdr:rowOff>
    </xdr:from>
    <xdr:ext cx="76200" cy="264204"/>
    <xdr:sp macro="" textlink="">
      <xdr:nvSpPr>
        <xdr:cNvPr id="456" name="Text Box 28">
          <a:extLst>
            <a:ext uri="{FF2B5EF4-FFF2-40B4-BE49-F238E27FC236}">
              <a16:creationId xmlns:a16="http://schemas.microsoft.com/office/drawing/2014/main" id="{6DE75D9E-5EF2-46DC-8A91-BAB26B94A4FE}"/>
            </a:ext>
          </a:extLst>
        </xdr:cNvPr>
        <xdr:cNvSpPr txBox="1">
          <a:spLocks noChangeArrowheads="1"/>
        </xdr:cNvSpPr>
      </xdr:nvSpPr>
      <xdr:spPr bwMode="auto">
        <a:xfrm>
          <a:off x="6096000" y="4754880"/>
          <a:ext cx="76200" cy="264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13</xdr:row>
      <xdr:rowOff>0</xdr:rowOff>
    </xdr:from>
    <xdr:ext cx="76200" cy="264202"/>
    <xdr:sp macro="" textlink="">
      <xdr:nvSpPr>
        <xdr:cNvPr id="457" name="Text Box 27">
          <a:extLst>
            <a:ext uri="{FF2B5EF4-FFF2-40B4-BE49-F238E27FC236}">
              <a16:creationId xmlns:a16="http://schemas.microsoft.com/office/drawing/2014/main" id="{807DEEFB-791E-4610-995A-740CDF39C8CB}"/>
            </a:ext>
          </a:extLst>
        </xdr:cNvPr>
        <xdr:cNvSpPr txBox="1">
          <a:spLocks noChangeArrowheads="1"/>
        </xdr:cNvSpPr>
      </xdr:nvSpPr>
      <xdr:spPr bwMode="auto">
        <a:xfrm>
          <a:off x="6096000" y="182880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13</xdr:row>
      <xdr:rowOff>0</xdr:rowOff>
    </xdr:from>
    <xdr:ext cx="76200" cy="264202"/>
    <xdr:sp macro="" textlink="">
      <xdr:nvSpPr>
        <xdr:cNvPr id="458" name="Text Box 28">
          <a:extLst>
            <a:ext uri="{FF2B5EF4-FFF2-40B4-BE49-F238E27FC236}">
              <a16:creationId xmlns:a16="http://schemas.microsoft.com/office/drawing/2014/main" id="{DAE960AB-610D-4D80-99F8-D388D1A3CE23}"/>
            </a:ext>
          </a:extLst>
        </xdr:cNvPr>
        <xdr:cNvSpPr txBox="1">
          <a:spLocks noChangeArrowheads="1"/>
        </xdr:cNvSpPr>
      </xdr:nvSpPr>
      <xdr:spPr bwMode="auto">
        <a:xfrm>
          <a:off x="6096000" y="182880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19</xdr:row>
      <xdr:rowOff>0</xdr:rowOff>
    </xdr:from>
    <xdr:ext cx="76200" cy="300486"/>
    <xdr:sp macro="" textlink="">
      <xdr:nvSpPr>
        <xdr:cNvPr id="459" name="Text Box 25">
          <a:extLst>
            <a:ext uri="{FF2B5EF4-FFF2-40B4-BE49-F238E27FC236}">
              <a16:creationId xmlns:a16="http://schemas.microsoft.com/office/drawing/2014/main" id="{D637C257-0BEF-4A2C-BEA9-C6C351D5DA37}"/>
            </a:ext>
          </a:extLst>
        </xdr:cNvPr>
        <xdr:cNvSpPr txBox="1">
          <a:spLocks noChangeArrowheads="1"/>
        </xdr:cNvSpPr>
      </xdr:nvSpPr>
      <xdr:spPr bwMode="auto">
        <a:xfrm>
          <a:off x="6096000" y="292608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19</xdr:row>
      <xdr:rowOff>0</xdr:rowOff>
    </xdr:from>
    <xdr:ext cx="76200" cy="300486"/>
    <xdr:sp macro="" textlink="">
      <xdr:nvSpPr>
        <xdr:cNvPr id="460" name="Text Box 26">
          <a:extLst>
            <a:ext uri="{FF2B5EF4-FFF2-40B4-BE49-F238E27FC236}">
              <a16:creationId xmlns:a16="http://schemas.microsoft.com/office/drawing/2014/main" id="{27A00B6F-8E15-4074-B881-B77F3A32E232}"/>
            </a:ext>
          </a:extLst>
        </xdr:cNvPr>
        <xdr:cNvSpPr txBox="1">
          <a:spLocks noChangeArrowheads="1"/>
        </xdr:cNvSpPr>
      </xdr:nvSpPr>
      <xdr:spPr bwMode="auto">
        <a:xfrm>
          <a:off x="6096000" y="292608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19</xdr:row>
      <xdr:rowOff>0</xdr:rowOff>
    </xdr:from>
    <xdr:ext cx="76200" cy="300486"/>
    <xdr:sp macro="" textlink="">
      <xdr:nvSpPr>
        <xdr:cNvPr id="461" name="Text Box 27">
          <a:extLst>
            <a:ext uri="{FF2B5EF4-FFF2-40B4-BE49-F238E27FC236}">
              <a16:creationId xmlns:a16="http://schemas.microsoft.com/office/drawing/2014/main" id="{5100E9CC-A8A0-4BD8-91AC-6B6D573E2171}"/>
            </a:ext>
          </a:extLst>
        </xdr:cNvPr>
        <xdr:cNvSpPr txBox="1">
          <a:spLocks noChangeArrowheads="1"/>
        </xdr:cNvSpPr>
      </xdr:nvSpPr>
      <xdr:spPr bwMode="auto">
        <a:xfrm>
          <a:off x="6096000" y="292608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19</xdr:row>
      <xdr:rowOff>0</xdr:rowOff>
    </xdr:from>
    <xdr:ext cx="76200" cy="300486"/>
    <xdr:sp macro="" textlink="">
      <xdr:nvSpPr>
        <xdr:cNvPr id="462" name="Text Box 28">
          <a:extLst>
            <a:ext uri="{FF2B5EF4-FFF2-40B4-BE49-F238E27FC236}">
              <a16:creationId xmlns:a16="http://schemas.microsoft.com/office/drawing/2014/main" id="{C1C713BC-BDDB-4E86-90DF-643D144F9F6E}"/>
            </a:ext>
          </a:extLst>
        </xdr:cNvPr>
        <xdr:cNvSpPr txBox="1">
          <a:spLocks noChangeArrowheads="1"/>
        </xdr:cNvSpPr>
      </xdr:nvSpPr>
      <xdr:spPr bwMode="auto">
        <a:xfrm>
          <a:off x="6096000" y="292608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19</xdr:row>
      <xdr:rowOff>0</xdr:rowOff>
    </xdr:from>
    <xdr:ext cx="76200" cy="281436"/>
    <xdr:sp macro="" textlink="">
      <xdr:nvSpPr>
        <xdr:cNvPr id="463" name="Text Box 25">
          <a:extLst>
            <a:ext uri="{FF2B5EF4-FFF2-40B4-BE49-F238E27FC236}">
              <a16:creationId xmlns:a16="http://schemas.microsoft.com/office/drawing/2014/main" id="{B5FC78D3-C2CA-465E-883E-50C48DD7D762}"/>
            </a:ext>
          </a:extLst>
        </xdr:cNvPr>
        <xdr:cNvSpPr txBox="1">
          <a:spLocks noChangeArrowheads="1"/>
        </xdr:cNvSpPr>
      </xdr:nvSpPr>
      <xdr:spPr bwMode="auto">
        <a:xfrm>
          <a:off x="6096000" y="292608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19</xdr:row>
      <xdr:rowOff>0</xdr:rowOff>
    </xdr:from>
    <xdr:ext cx="76200" cy="281436"/>
    <xdr:sp macro="" textlink="">
      <xdr:nvSpPr>
        <xdr:cNvPr id="464" name="Text Box 26">
          <a:extLst>
            <a:ext uri="{FF2B5EF4-FFF2-40B4-BE49-F238E27FC236}">
              <a16:creationId xmlns:a16="http://schemas.microsoft.com/office/drawing/2014/main" id="{3990E76A-BB24-4C2E-8605-FDB0B3CF2CDC}"/>
            </a:ext>
          </a:extLst>
        </xdr:cNvPr>
        <xdr:cNvSpPr txBox="1">
          <a:spLocks noChangeArrowheads="1"/>
        </xdr:cNvSpPr>
      </xdr:nvSpPr>
      <xdr:spPr bwMode="auto">
        <a:xfrm>
          <a:off x="6096000" y="292608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19</xdr:row>
      <xdr:rowOff>0</xdr:rowOff>
    </xdr:from>
    <xdr:ext cx="76200" cy="281436"/>
    <xdr:sp macro="" textlink="">
      <xdr:nvSpPr>
        <xdr:cNvPr id="465" name="Text Box 27">
          <a:extLst>
            <a:ext uri="{FF2B5EF4-FFF2-40B4-BE49-F238E27FC236}">
              <a16:creationId xmlns:a16="http://schemas.microsoft.com/office/drawing/2014/main" id="{39685B15-4699-4D85-B29E-EA048A6154D3}"/>
            </a:ext>
          </a:extLst>
        </xdr:cNvPr>
        <xdr:cNvSpPr txBox="1">
          <a:spLocks noChangeArrowheads="1"/>
        </xdr:cNvSpPr>
      </xdr:nvSpPr>
      <xdr:spPr bwMode="auto">
        <a:xfrm>
          <a:off x="6096000" y="292608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19</xdr:row>
      <xdr:rowOff>0</xdr:rowOff>
    </xdr:from>
    <xdr:ext cx="76200" cy="281436"/>
    <xdr:sp macro="" textlink="">
      <xdr:nvSpPr>
        <xdr:cNvPr id="466" name="Text Box 28">
          <a:extLst>
            <a:ext uri="{FF2B5EF4-FFF2-40B4-BE49-F238E27FC236}">
              <a16:creationId xmlns:a16="http://schemas.microsoft.com/office/drawing/2014/main" id="{BC18CD58-6365-4F75-A6C1-F583BF440F47}"/>
            </a:ext>
          </a:extLst>
        </xdr:cNvPr>
        <xdr:cNvSpPr txBox="1">
          <a:spLocks noChangeArrowheads="1"/>
        </xdr:cNvSpPr>
      </xdr:nvSpPr>
      <xdr:spPr bwMode="auto">
        <a:xfrm>
          <a:off x="6096000" y="292608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18</xdr:row>
      <xdr:rowOff>0</xdr:rowOff>
    </xdr:from>
    <xdr:ext cx="76200" cy="41406"/>
    <xdr:sp macro="" textlink="">
      <xdr:nvSpPr>
        <xdr:cNvPr id="467" name="Text Box 26">
          <a:extLst>
            <a:ext uri="{FF2B5EF4-FFF2-40B4-BE49-F238E27FC236}">
              <a16:creationId xmlns:a16="http://schemas.microsoft.com/office/drawing/2014/main" id="{E6953103-9028-4D6A-AFBA-1D98CE34F371}"/>
            </a:ext>
          </a:extLst>
        </xdr:cNvPr>
        <xdr:cNvSpPr txBox="1">
          <a:spLocks noChangeArrowheads="1"/>
        </xdr:cNvSpPr>
      </xdr:nvSpPr>
      <xdr:spPr bwMode="auto">
        <a:xfrm>
          <a:off x="6096000" y="2743200"/>
          <a:ext cx="76200" cy="414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8</xdr:row>
      <xdr:rowOff>0</xdr:rowOff>
    </xdr:from>
    <xdr:ext cx="76200" cy="196215"/>
    <xdr:sp macro="" textlink="">
      <xdr:nvSpPr>
        <xdr:cNvPr id="468" name="Text Box 25">
          <a:extLst>
            <a:ext uri="{FF2B5EF4-FFF2-40B4-BE49-F238E27FC236}">
              <a16:creationId xmlns:a16="http://schemas.microsoft.com/office/drawing/2014/main" id="{10D44AFC-083E-4C2C-9081-665B9AB993E6}"/>
            </a:ext>
          </a:extLst>
        </xdr:cNvPr>
        <xdr:cNvSpPr txBox="1">
          <a:spLocks noChangeArrowheads="1"/>
        </xdr:cNvSpPr>
      </xdr:nvSpPr>
      <xdr:spPr bwMode="auto">
        <a:xfrm>
          <a:off x="6096000" y="91440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8</xdr:row>
      <xdr:rowOff>0</xdr:rowOff>
    </xdr:from>
    <xdr:ext cx="76200" cy="196215"/>
    <xdr:sp macro="" textlink="">
      <xdr:nvSpPr>
        <xdr:cNvPr id="469" name="Text Box 26">
          <a:extLst>
            <a:ext uri="{FF2B5EF4-FFF2-40B4-BE49-F238E27FC236}">
              <a16:creationId xmlns:a16="http://schemas.microsoft.com/office/drawing/2014/main" id="{B533CA44-5E97-4160-B2FB-251E2B40A861}"/>
            </a:ext>
          </a:extLst>
        </xdr:cNvPr>
        <xdr:cNvSpPr txBox="1">
          <a:spLocks noChangeArrowheads="1"/>
        </xdr:cNvSpPr>
      </xdr:nvSpPr>
      <xdr:spPr bwMode="auto">
        <a:xfrm>
          <a:off x="6096000" y="91440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8</xdr:row>
      <xdr:rowOff>0</xdr:rowOff>
    </xdr:from>
    <xdr:ext cx="76200" cy="196215"/>
    <xdr:sp macro="" textlink="">
      <xdr:nvSpPr>
        <xdr:cNvPr id="470" name="Text Box 27">
          <a:extLst>
            <a:ext uri="{FF2B5EF4-FFF2-40B4-BE49-F238E27FC236}">
              <a16:creationId xmlns:a16="http://schemas.microsoft.com/office/drawing/2014/main" id="{03C81C99-51C5-4791-8C40-2ED791CB2999}"/>
            </a:ext>
          </a:extLst>
        </xdr:cNvPr>
        <xdr:cNvSpPr txBox="1">
          <a:spLocks noChangeArrowheads="1"/>
        </xdr:cNvSpPr>
      </xdr:nvSpPr>
      <xdr:spPr bwMode="auto">
        <a:xfrm>
          <a:off x="6096000" y="91440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8</xdr:row>
      <xdr:rowOff>0</xdr:rowOff>
    </xdr:from>
    <xdr:ext cx="76200" cy="196215"/>
    <xdr:sp macro="" textlink="">
      <xdr:nvSpPr>
        <xdr:cNvPr id="471" name="Text Box 28">
          <a:extLst>
            <a:ext uri="{FF2B5EF4-FFF2-40B4-BE49-F238E27FC236}">
              <a16:creationId xmlns:a16="http://schemas.microsoft.com/office/drawing/2014/main" id="{1408577F-0456-45B8-AACF-BF65A4C9EFD3}"/>
            </a:ext>
          </a:extLst>
        </xdr:cNvPr>
        <xdr:cNvSpPr txBox="1">
          <a:spLocks noChangeArrowheads="1"/>
        </xdr:cNvSpPr>
      </xdr:nvSpPr>
      <xdr:spPr bwMode="auto">
        <a:xfrm>
          <a:off x="6096000" y="91440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8</xdr:row>
      <xdr:rowOff>0</xdr:rowOff>
    </xdr:from>
    <xdr:ext cx="76200" cy="196215"/>
    <xdr:sp macro="" textlink="">
      <xdr:nvSpPr>
        <xdr:cNvPr id="472" name="Text Box 25">
          <a:extLst>
            <a:ext uri="{FF2B5EF4-FFF2-40B4-BE49-F238E27FC236}">
              <a16:creationId xmlns:a16="http://schemas.microsoft.com/office/drawing/2014/main" id="{D289B7D2-923C-42B7-A291-9A42519CB654}"/>
            </a:ext>
          </a:extLst>
        </xdr:cNvPr>
        <xdr:cNvSpPr txBox="1">
          <a:spLocks noChangeArrowheads="1"/>
        </xdr:cNvSpPr>
      </xdr:nvSpPr>
      <xdr:spPr bwMode="auto">
        <a:xfrm>
          <a:off x="6096000" y="91440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8</xdr:row>
      <xdr:rowOff>0</xdr:rowOff>
    </xdr:from>
    <xdr:ext cx="76200" cy="196215"/>
    <xdr:sp macro="" textlink="">
      <xdr:nvSpPr>
        <xdr:cNvPr id="473" name="Text Box 26">
          <a:extLst>
            <a:ext uri="{FF2B5EF4-FFF2-40B4-BE49-F238E27FC236}">
              <a16:creationId xmlns:a16="http://schemas.microsoft.com/office/drawing/2014/main" id="{D2C27D17-CB6B-44AD-99DE-3639B1C8BB99}"/>
            </a:ext>
          </a:extLst>
        </xdr:cNvPr>
        <xdr:cNvSpPr txBox="1">
          <a:spLocks noChangeArrowheads="1"/>
        </xdr:cNvSpPr>
      </xdr:nvSpPr>
      <xdr:spPr bwMode="auto">
        <a:xfrm>
          <a:off x="6096000" y="91440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8</xdr:row>
      <xdr:rowOff>0</xdr:rowOff>
    </xdr:from>
    <xdr:ext cx="76200" cy="196215"/>
    <xdr:sp macro="" textlink="">
      <xdr:nvSpPr>
        <xdr:cNvPr id="474" name="Text Box 27">
          <a:extLst>
            <a:ext uri="{FF2B5EF4-FFF2-40B4-BE49-F238E27FC236}">
              <a16:creationId xmlns:a16="http://schemas.microsoft.com/office/drawing/2014/main" id="{46994751-E2E5-4979-9B2C-AC9DE9105B40}"/>
            </a:ext>
          </a:extLst>
        </xdr:cNvPr>
        <xdr:cNvSpPr txBox="1">
          <a:spLocks noChangeArrowheads="1"/>
        </xdr:cNvSpPr>
      </xdr:nvSpPr>
      <xdr:spPr bwMode="auto">
        <a:xfrm>
          <a:off x="6096000" y="91440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8</xdr:row>
      <xdr:rowOff>0</xdr:rowOff>
    </xdr:from>
    <xdr:ext cx="76200" cy="196215"/>
    <xdr:sp macro="" textlink="">
      <xdr:nvSpPr>
        <xdr:cNvPr id="475" name="Text Box 28">
          <a:extLst>
            <a:ext uri="{FF2B5EF4-FFF2-40B4-BE49-F238E27FC236}">
              <a16:creationId xmlns:a16="http://schemas.microsoft.com/office/drawing/2014/main" id="{3476E97B-7D8C-4BD2-A45A-E55568373F00}"/>
            </a:ext>
          </a:extLst>
        </xdr:cNvPr>
        <xdr:cNvSpPr txBox="1">
          <a:spLocks noChangeArrowheads="1"/>
        </xdr:cNvSpPr>
      </xdr:nvSpPr>
      <xdr:spPr bwMode="auto">
        <a:xfrm>
          <a:off x="6096000" y="91440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24</xdr:row>
      <xdr:rowOff>0</xdr:rowOff>
    </xdr:from>
    <xdr:ext cx="76200" cy="264201"/>
    <xdr:sp macro="" textlink="">
      <xdr:nvSpPr>
        <xdr:cNvPr id="476" name="Text Box 27">
          <a:extLst>
            <a:ext uri="{FF2B5EF4-FFF2-40B4-BE49-F238E27FC236}">
              <a16:creationId xmlns:a16="http://schemas.microsoft.com/office/drawing/2014/main" id="{C3D8448D-6A33-4E3D-BA48-86FE52656C91}"/>
            </a:ext>
          </a:extLst>
        </xdr:cNvPr>
        <xdr:cNvSpPr txBox="1">
          <a:spLocks noChangeArrowheads="1"/>
        </xdr:cNvSpPr>
      </xdr:nvSpPr>
      <xdr:spPr bwMode="auto">
        <a:xfrm>
          <a:off x="6705600" y="3840480"/>
          <a:ext cx="76200" cy="2642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29</xdr:row>
      <xdr:rowOff>0</xdr:rowOff>
    </xdr:from>
    <xdr:ext cx="76200" cy="264204"/>
    <xdr:sp macro="" textlink="">
      <xdr:nvSpPr>
        <xdr:cNvPr id="477" name="Text Box 28">
          <a:extLst>
            <a:ext uri="{FF2B5EF4-FFF2-40B4-BE49-F238E27FC236}">
              <a16:creationId xmlns:a16="http://schemas.microsoft.com/office/drawing/2014/main" id="{B803E6A3-AB79-4879-910A-536FCEB481E5}"/>
            </a:ext>
          </a:extLst>
        </xdr:cNvPr>
        <xdr:cNvSpPr txBox="1">
          <a:spLocks noChangeArrowheads="1"/>
        </xdr:cNvSpPr>
      </xdr:nvSpPr>
      <xdr:spPr bwMode="auto">
        <a:xfrm>
          <a:off x="6705600" y="4754880"/>
          <a:ext cx="76200" cy="264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13</xdr:row>
      <xdr:rowOff>0</xdr:rowOff>
    </xdr:from>
    <xdr:ext cx="76200" cy="264202"/>
    <xdr:sp macro="" textlink="">
      <xdr:nvSpPr>
        <xdr:cNvPr id="478" name="Text Box 27">
          <a:extLst>
            <a:ext uri="{FF2B5EF4-FFF2-40B4-BE49-F238E27FC236}">
              <a16:creationId xmlns:a16="http://schemas.microsoft.com/office/drawing/2014/main" id="{53223F98-1A1C-4658-B436-1B916A3CA5D4}"/>
            </a:ext>
          </a:extLst>
        </xdr:cNvPr>
        <xdr:cNvSpPr txBox="1">
          <a:spLocks noChangeArrowheads="1"/>
        </xdr:cNvSpPr>
      </xdr:nvSpPr>
      <xdr:spPr bwMode="auto">
        <a:xfrm>
          <a:off x="6705600" y="182880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13</xdr:row>
      <xdr:rowOff>0</xdr:rowOff>
    </xdr:from>
    <xdr:ext cx="76200" cy="264202"/>
    <xdr:sp macro="" textlink="">
      <xdr:nvSpPr>
        <xdr:cNvPr id="479" name="Text Box 28">
          <a:extLst>
            <a:ext uri="{FF2B5EF4-FFF2-40B4-BE49-F238E27FC236}">
              <a16:creationId xmlns:a16="http://schemas.microsoft.com/office/drawing/2014/main" id="{24F3BBEF-DE01-489D-A713-0873CF4F6E66}"/>
            </a:ext>
          </a:extLst>
        </xdr:cNvPr>
        <xdr:cNvSpPr txBox="1">
          <a:spLocks noChangeArrowheads="1"/>
        </xdr:cNvSpPr>
      </xdr:nvSpPr>
      <xdr:spPr bwMode="auto">
        <a:xfrm>
          <a:off x="6705600" y="1828800"/>
          <a:ext cx="76200" cy="2642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19</xdr:row>
      <xdr:rowOff>0</xdr:rowOff>
    </xdr:from>
    <xdr:ext cx="76200" cy="300486"/>
    <xdr:sp macro="" textlink="">
      <xdr:nvSpPr>
        <xdr:cNvPr id="480" name="Text Box 25">
          <a:extLst>
            <a:ext uri="{FF2B5EF4-FFF2-40B4-BE49-F238E27FC236}">
              <a16:creationId xmlns:a16="http://schemas.microsoft.com/office/drawing/2014/main" id="{87C55AE2-F850-4DAD-A5CD-79A843C1E1CD}"/>
            </a:ext>
          </a:extLst>
        </xdr:cNvPr>
        <xdr:cNvSpPr txBox="1">
          <a:spLocks noChangeArrowheads="1"/>
        </xdr:cNvSpPr>
      </xdr:nvSpPr>
      <xdr:spPr bwMode="auto">
        <a:xfrm>
          <a:off x="6705600" y="292608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19</xdr:row>
      <xdr:rowOff>0</xdr:rowOff>
    </xdr:from>
    <xdr:ext cx="76200" cy="300486"/>
    <xdr:sp macro="" textlink="">
      <xdr:nvSpPr>
        <xdr:cNvPr id="481" name="Text Box 26">
          <a:extLst>
            <a:ext uri="{FF2B5EF4-FFF2-40B4-BE49-F238E27FC236}">
              <a16:creationId xmlns:a16="http://schemas.microsoft.com/office/drawing/2014/main" id="{FCC19610-EE4F-4C89-995D-476654BF1172}"/>
            </a:ext>
          </a:extLst>
        </xdr:cNvPr>
        <xdr:cNvSpPr txBox="1">
          <a:spLocks noChangeArrowheads="1"/>
        </xdr:cNvSpPr>
      </xdr:nvSpPr>
      <xdr:spPr bwMode="auto">
        <a:xfrm>
          <a:off x="6705600" y="292608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19</xdr:row>
      <xdr:rowOff>0</xdr:rowOff>
    </xdr:from>
    <xdr:ext cx="76200" cy="300486"/>
    <xdr:sp macro="" textlink="">
      <xdr:nvSpPr>
        <xdr:cNvPr id="482" name="Text Box 27">
          <a:extLst>
            <a:ext uri="{FF2B5EF4-FFF2-40B4-BE49-F238E27FC236}">
              <a16:creationId xmlns:a16="http://schemas.microsoft.com/office/drawing/2014/main" id="{64289531-8305-49C1-B183-1F789AA3C216}"/>
            </a:ext>
          </a:extLst>
        </xdr:cNvPr>
        <xdr:cNvSpPr txBox="1">
          <a:spLocks noChangeArrowheads="1"/>
        </xdr:cNvSpPr>
      </xdr:nvSpPr>
      <xdr:spPr bwMode="auto">
        <a:xfrm>
          <a:off x="6705600" y="292608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19</xdr:row>
      <xdr:rowOff>0</xdr:rowOff>
    </xdr:from>
    <xdr:ext cx="76200" cy="300486"/>
    <xdr:sp macro="" textlink="">
      <xdr:nvSpPr>
        <xdr:cNvPr id="483" name="Text Box 28">
          <a:extLst>
            <a:ext uri="{FF2B5EF4-FFF2-40B4-BE49-F238E27FC236}">
              <a16:creationId xmlns:a16="http://schemas.microsoft.com/office/drawing/2014/main" id="{8C3CAFAC-F739-417A-8349-C494070E0766}"/>
            </a:ext>
          </a:extLst>
        </xdr:cNvPr>
        <xdr:cNvSpPr txBox="1">
          <a:spLocks noChangeArrowheads="1"/>
        </xdr:cNvSpPr>
      </xdr:nvSpPr>
      <xdr:spPr bwMode="auto">
        <a:xfrm>
          <a:off x="6705600" y="2926080"/>
          <a:ext cx="76200" cy="30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19</xdr:row>
      <xdr:rowOff>0</xdr:rowOff>
    </xdr:from>
    <xdr:ext cx="76200" cy="281436"/>
    <xdr:sp macro="" textlink="">
      <xdr:nvSpPr>
        <xdr:cNvPr id="484" name="Text Box 25">
          <a:extLst>
            <a:ext uri="{FF2B5EF4-FFF2-40B4-BE49-F238E27FC236}">
              <a16:creationId xmlns:a16="http://schemas.microsoft.com/office/drawing/2014/main" id="{CFA02486-7D1C-4B0E-9464-7D9DEB65A1DF}"/>
            </a:ext>
          </a:extLst>
        </xdr:cNvPr>
        <xdr:cNvSpPr txBox="1">
          <a:spLocks noChangeArrowheads="1"/>
        </xdr:cNvSpPr>
      </xdr:nvSpPr>
      <xdr:spPr bwMode="auto">
        <a:xfrm>
          <a:off x="6705600" y="292608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19</xdr:row>
      <xdr:rowOff>0</xdr:rowOff>
    </xdr:from>
    <xdr:ext cx="76200" cy="281436"/>
    <xdr:sp macro="" textlink="">
      <xdr:nvSpPr>
        <xdr:cNvPr id="485" name="Text Box 26">
          <a:extLst>
            <a:ext uri="{FF2B5EF4-FFF2-40B4-BE49-F238E27FC236}">
              <a16:creationId xmlns:a16="http://schemas.microsoft.com/office/drawing/2014/main" id="{2FA9C0E9-CAE7-4497-9C9E-EE96B2CA44BB}"/>
            </a:ext>
          </a:extLst>
        </xdr:cNvPr>
        <xdr:cNvSpPr txBox="1">
          <a:spLocks noChangeArrowheads="1"/>
        </xdr:cNvSpPr>
      </xdr:nvSpPr>
      <xdr:spPr bwMode="auto">
        <a:xfrm>
          <a:off x="6705600" y="292608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19</xdr:row>
      <xdr:rowOff>0</xdr:rowOff>
    </xdr:from>
    <xdr:ext cx="76200" cy="281436"/>
    <xdr:sp macro="" textlink="">
      <xdr:nvSpPr>
        <xdr:cNvPr id="486" name="Text Box 27">
          <a:extLst>
            <a:ext uri="{FF2B5EF4-FFF2-40B4-BE49-F238E27FC236}">
              <a16:creationId xmlns:a16="http://schemas.microsoft.com/office/drawing/2014/main" id="{418E8AF6-A0BB-4FA7-BD67-17D6CDAF658B}"/>
            </a:ext>
          </a:extLst>
        </xdr:cNvPr>
        <xdr:cNvSpPr txBox="1">
          <a:spLocks noChangeArrowheads="1"/>
        </xdr:cNvSpPr>
      </xdr:nvSpPr>
      <xdr:spPr bwMode="auto">
        <a:xfrm>
          <a:off x="6705600" y="292608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19</xdr:row>
      <xdr:rowOff>0</xdr:rowOff>
    </xdr:from>
    <xdr:ext cx="76200" cy="281436"/>
    <xdr:sp macro="" textlink="">
      <xdr:nvSpPr>
        <xdr:cNvPr id="487" name="Text Box 28">
          <a:extLst>
            <a:ext uri="{FF2B5EF4-FFF2-40B4-BE49-F238E27FC236}">
              <a16:creationId xmlns:a16="http://schemas.microsoft.com/office/drawing/2014/main" id="{0AC3859B-73AC-4AAB-9CE3-2B3A5BC46AB2}"/>
            </a:ext>
          </a:extLst>
        </xdr:cNvPr>
        <xdr:cNvSpPr txBox="1">
          <a:spLocks noChangeArrowheads="1"/>
        </xdr:cNvSpPr>
      </xdr:nvSpPr>
      <xdr:spPr bwMode="auto">
        <a:xfrm>
          <a:off x="6705600" y="2926080"/>
          <a:ext cx="76200" cy="281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18</xdr:row>
      <xdr:rowOff>0</xdr:rowOff>
    </xdr:from>
    <xdr:ext cx="76200" cy="41406"/>
    <xdr:sp macro="" textlink="">
      <xdr:nvSpPr>
        <xdr:cNvPr id="488" name="Text Box 26">
          <a:extLst>
            <a:ext uri="{FF2B5EF4-FFF2-40B4-BE49-F238E27FC236}">
              <a16:creationId xmlns:a16="http://schemas.microsoft.com/office/drawing/2014/main" id="{FCC615BD-43FB-4607-AB0C-052ED4F13D62}"/>
            </a:ext>
          </a:extLst>
        </xdr:cNvPr>
        <xdr:cNvSpPr txBox="1">
          <a:spLocks noChangeArrowheads="1"/>
        </xdr:cNvSpPr>
      </xdr:nvSpPr>
      <xdr:spPr bwMode="auto">
        <a:xfrm>
          <a:off x="6705600" y="2743200"/>
          <a:ext cx="76200" cy="414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8</xdr:row>
      <xdr:rowOff>0</xdr:rowOff>
    </xdr:from>
    <xdr:ext cx="76200" cy="196215"/>
    <xdr:sp macro="" textlink="">
      <xdr:nvSpPr>
        <xdr:cNvPr id="489" name="Text Box 25">
          <a:extLst>
            <a:ext uri="{FF2B5EF4-FFF2-40B4-BE49-F238E27FC236}">
              <a16:creationId xmlns:a16="http://schemas.microsoft.com/office/drawing/2014/main" id="{A531ABD1-787C-45A3-AF5B-68FDFBE0524A}"/>
            </a:ext>
          </a:extLst>
        </xdr:cNvPr>
        <xdr:cNvSpPr txBox="1">
          <a:spLocks noChangeArrowheads="1"/>
        </xdr:cNvSpPr>
      </xdr:nvSpPr>
      <xdr:spPr bwMode="auto">
        <a:xfrm>
          <a:off x="6705600" y="91440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8</xdr:row>
      <xdr:rowOff>0</xdr:rowOff>
    </xdr:from>
    <xdr:ext cx="76200" cy="196215"/>
    <xdr:sp macro="" textlink="">
      <xdr:nvSpPr>
        <xdr:cNvPr id="490" name="Text Box 26">
          <a:extLst>
            <a:ext uri="{FF2B5EF4-FFF2-40B4-BE49-F238E27FC236}">
              <a16:creationId xmlns:a16="http://schemas.microsoft.com/office/drawing/2014/main" id="{C20713F4-D7CC-442A-B312-50C0C2AD07A9}"/>
            </a:ext>
          </a:extLst>
        </xdr:cNvPr>
        <xdr:cNvSpPr txBox="1">
          <a:spLocks noChangeArrowheads="1"/>
        </xdr:cNvSpPr>
      </xdr:nvSpPr>
      <xdr:spPr bwMode="auto">
        <a:xfrm>
          <a:off x="6705600" y="91440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8</xdr:row>
      <xdr:rowOff>0</xdr:rowOff>
    </xdr:from>
    <xdr:ext cx="76200" cy="196215"/>
    <xdr:sp macro="" textlink="">
      <xdr:nvSpPr>
        <xdr:cNvPr id="491" name="Text Box 27">
          <a:extLst>
            <a:ext uri="{FF2B5EF4-FFF2-40B4-BE49-F238E27FC236}">
              <a16:creationId xmlns:a16="http://schemas.microsoft.com/office/drawing/2014/main" id="{DB206EDA-B0DC-4D2C-9696-B368CADF8245}"/>
            </a:ext>
          </a:extLst>
        </xdr:cNvPr>
        <xdr:cNvSpPr txBox="1">
          <a:spLocks noChangeArrowheads="1"/>
        </xdr:cNvSpPr>
      </xdr:nvSpPr>
      <xdr:spPr bwMode="auto">
        <a:xfrm>
          <a:off x="6705600" y="91440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8</xdr:row>
      <xdr:rowOff>0</xdr:rowOff>
    </xdr:from>
    <xdr:ext cx="76200" cy="196215"/>
    <xdr:sp macro="" textlink="">
      <xdr:nvSpPr>
        <xdr:cNvPr id="492" name="Text Box 28">
          <a:extLst>
            <a:ext uri="{FF2B5EF4-FFF2-40B4-BE49-F238E27FC236}">
              <a16:creationId xmlns:a16="http://schemas.microsoft.com/office/drawing/2014/main" id="{15CB8162-8A33-4745-9573-E7BC9B6C647A}"/>
            </a:ext>
          </a:extLst>
        </xdr:cNvPr>
        <xdr:cNvSpPr txBox="1">
          <a:spLocks noChangeArrowheads="1"/>
        </xdr:cNvSpPr>
      </xdr:nvSpPr>
      <xdr:spPr bwMode="auto">
        <a:xfrm>
          <a:off x="6705600" y="91440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8</xdr:row>
      <xdr:rowOff>0</xdr:rowOff>
    </xdr:from>
    <xdr:ext cx="76200" cy="196215"/>
    <xdr:sp macro="" textlink="">
      <xdr:nvSpPr>
        <xdr:cNvPr id="493" name="Text Box 25">
          <a:extLst>
            <a:ext uri="{FF2B5EF4-FFF2-40B4-BE49-F238E27FC236}">
              <a16:creationId xmlns:a16="http://schemas.microsoft.com/office/drawing/2014/main" id="{08F88B11-4FA8-4797-8040-3E7122567D3D}"/>
            </a:ext>
          </a:extLst>
        </xdr:cNvPr>
        <xdr:cNvSpPr txBox="1">
          <a:spLocks noChangeArrowheads="1"/>
        </xdr:cNvSpPr>
      </xdr:nvSpPr>
      <xdr:spPr bwMode="auto">
        <a:xfrm>
          <a:off x="6705600" y="91440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8</xdr:row>
      <xdr:rowOff>0</xdr:rowOff>
    </xdr:from>
    <xdr:ext cx="76200" cy="196215"/>
    <xdr:sp macro="" textlink="">
      <xdr:nvSpPr>
        <xdr:cNvPr id="494" name="Text Box 26">
          <a:extLst>
            <a:ext uri="{FF2B5EF4-FFF2-40B4-BE49-F238E27FC236}">
              <a16:creationId xmlns:a16="http://schemas.microsoft.com/office/drawing/2014/main" id="{8E4B7117-D1B9-4355-AAD1-230383D2BCC9}"/>
            </a:ext>
          </a:extLst>
        </xdr:cNvPr>
        <xdr:cNvSpPr txBox="1">
          <a:spLocks noChangeArrowheads="1"/>
        </xdr:cNvSpPr>
      </xdr:nvSpPr>
      <xdr:spPr bwMode="auto">
        <a:xfrm>
          <a:off x="6705600" y="91440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8</xdr:row>
      <xdr:rowOff>0</xdr:rowOff>
    </xdr:from>
    <xdr:ext cx="76200" cy="196215"/>
    <xdr:sp macro="" textlink="">
      <xdr:nvSpPr>
        <xdr:cNvPr id="495" name="Text Box 27">
          <a:extLst>
            <a:ext uri="{FF2B5EF4-FFF2-40B4-BE49-F238E27FC236}">
              <a16:creationId xmlns:a16="http://schemas.microsoft.com/office/drawing/2014/main" id="{BD9B0668-4AA5-4EAF-8BE8-3F7E0D3B7676}"/>
            </a:ext>
          </a:extLst>
        </xdr:cNvPr>
        <xdr:cNvSpPr txBox="1">
          <a:spLocks noChangeArrowheads="1"/>
        </xdr:cNvSpPr>
      </xdr:nvSpPr>
      <xdr:spPr bwMode="auto">
        <a:xfrm>
          <a:off x="6705600" y="91440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8</xdr:row>
      <xdr:rowOff>0</xdr:rowOff>
    </xdr:from>
    <xdr:ext cx="76200" cy="196215"/>
    <xdr:sp macro="" textlink="">
      <xdr:nvSpPr>
        <xdr:cNvPr id="496" name="Text Box 28">
          <a:extLst>
            <a:ext uri="{FF2B5EF4-FFF2-40B4-BE49-F238E27FC236}">
              <a16:creationId xmlns:a16="http://schemas.microsoft.com/office/drawing/2014/main" id="{2BB8537D-6B82-4D8D-AD63-5DB4E712BFFA}"/>
            </a:ext>
          </a:extLst>
        </xdr:cNvPr>
        <xdr:cNvSpPr txBox="1">
          <a:spLocks noChangeArrowheads="1"/>
        </xdr:cNvSpPr>
      </xdr:nvSpPr>
      <xdr:spPr bwMode="auto">
        <a:xfrm>
          <a:off x="6705600" y="91440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59</xdr:row>
      <xdr:rowOff>0</xdr:rowOff>
    </xdr:from>
    <xdr:ext cx="76200" cy="281074"/>
    <xdr:sp macro="" textlink="">
      <xdr:nvSpPr>
        <xdr:cNvPr id="497" name="Text Box 25">
          <a:extLst>
            <a:ext uri="{FF2B5EF4-FFF2-40B4-BE49-F238E27FC236}">
              <a16:creationId xmlns:a16="http://schemas.microsoft.com/office/drawing/2014/main" id="{9837CB05-06E0-4400-A460-0AE448AEC764}"/>
            </a:ext>
          </a:extLst>
        </xdr:cNvPr>
        <xdr:cNvSpPr txBox="1">
          <a:spLocks noChangeArrowheads="1"/>
        </xdr:cNvSpPr>
      </xdr:nvSpPr>
      <xdr:spPr bwMode="auto">
        <a:xfrm>
          <a:off x="9753600" y="10424160"/>
          <a:ext cx="76200" cy="2810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59</xdr:row>
      <xdr:rowOff>0</xdr:rowOff>
    </xdr:from>
    <xdr:ext cx="76200" cy="281074"/>
    <xdr:sp macro="" textlink="">
      <xdr:nvSpPr>
        <xdr:cNvPr id="498" name="Text Box 26">
          <a:extLst>
            <a:ext uri="{FF2B5EF4-FFF2-40B4-BE49-F238E27FC236}">
              <a16:creationId xmlns:a16="http://schemas.microsoft.com/office/drawing/2014/main" id="{E3519F34-4910-4471-A979-AED2290123AC}"/>
            </a:ext>
          </a:extLst>
        </xdr:cNvPr>
        <xdr:cNvSpPr txBox="1">
          <a:spLocks noChangeArrowheads="1"/>
        </xdr:cNvSpPr>
      </xdr:nvSpPr>
      <xdr:spPr bwMode="auto">
        <a:xfrm>
          <a:off x="9753600" y="10424160"/>
          <a:ext cx="76200" cy="2810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59</xdr:row>
      <xdr:rowOff>0</xdr:rowOff>
    </xdr:from>
    <xdr:ext cx="76200" cy="281074"/>
    <xdr:sp macro="" textlink="">
      <xdr:nvSpPr>
        <xdr:cNvPr id="499" name="Text Box 27">
          <a:extLst>
            <a:ext uri="{FF2B5EF4-FFF2-40B4-BE49-F238E27FC236}">
              <a16:creationId xmlns:a16="http://schemas.microsoft.com/office/drawing/2014/main" id="{86CEC3E7-0CFA-4B32-8B29-CA1252D2CF98}"/>
            </a:ext>
          </a:extLst>
        </xdr:cNvPr>
        <xdr:cNvSpPr txBox="1">
          <a:spLocks noChangeArrowheads="1"/>
        </xdr:cNvSpPr>
      </xdr:nvSpPr>
      <xdr:spPr bwMode="auto">
        <a:xfrm>
          <a:off x="9753600" y="10424160"/>
          <a:ext cx="76200" cy="2810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59</xdr:row>
      <xdr:rowOff>0</xdr:rowOff>
    </xdr:from>
    <xdr:ext cx="76200" cy="281074"/>
    <xdr:sp macro="" textlink="">
      <xdr:nvSpPr>
        <xdr:cNvPr id="500" name="Text Box 28">
          <a:extLst>
            <a:ext uri="{FF2B5EF4-FFF2-40B4-BE49-F238E27FC236}">
              <a16:creationId xmlns:a16="http://schemas.microsoft.com/office/drawing/2014/main" id="{D665426B-4E9D-4F01-99B3-677941CAD81E}"/>
            </a:ext>
          </a:extLst>
        </xdr:cNvPr>
        <xdr:cNvSpPr txBox="1">
          <a:spLocks noChangeArrowheads="1"/>
        </xdr:cNvSpPr>
      </xdr:nvSpPr>
      <xdr:spPr bwMode="auto">
        <a:xfrm>
          <a:off x="9753600" y="10424160"/>
          <a:ext cx="76200" cy="2810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35</xdr:row>
      <xdr:rowOff>0</xdr:rowOff>
    </xdr:from>
    <xdr:ext cx="76200" cy="259081"/>
    <xdr:sp macro="" textlink="">
      <xdr:nvSpPr>
        <xdr:cNvPr id="501" name="Text Box 25">
          <a:extLst>
            <a:ext uri="{FF2B5EF4-FFF2-40B4-BE49-F238E27FC236}">
              <a16:creationId xmlns:a16="http://schemas.microsoft.com/office/drawing/2014/main" id="{1B8873C2-F3DE-474D-BAA9-909BB5067D75}"/>
            </a:ext>
          </a:extLst>
        </xdr:cNvPr>
        <xdr:cNvSpPr txBox="1">
          <a:spLocks noChangeArrowheads="1"/>
        </xdr:cNvSpPr>
      </xdr:nvSpPr>
      <xdr:spPr bwMode="auto">
        <a:xfrm>
          <a:off x="9753600" y="5852160"/>
          <a:ext cx="76200" cy="2590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35</xdr:row>
      <xdr:rowOff>0</xdr:rowOff>
    </xdr:from>
    <xdr:ext cx="76200" cy="259081"/>
    <xdr:sp macro="" textlink="">
      <xdr:nvSpPr>
        <xdr:cNvPr id="502" name="Text Box 26">
          <a:extLst>
            <a:ext uri="{FF2B5EF4-FFF2-40B4-BE49-F238E27FC236}">
              <a16:creationId xmlns:a16="http://schemas.microsoft.com/office/drawing/2014/main" id="{8351A668-E89A-4554-B3B9-DDA8C155FDD8}"/>
            </a:ext>
          </a:extLst>
        </xdr:cNvPr>
        <xdr:cNvSpPr txBox="1">
          <a:spLocks noChangeArrowheads="1"/>
        </xdr:cNvSpPr>
      </xdr:nvSpPr>
      <xdr:spPr bwMode="auto">
        <a:xfrm>
          <a:off x="9753600" y="5852160"/>
          <a:ext cx="76200" cy="2590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35</xdr:row>
      <xdr:rowOff>0</xdr:rowOff>
    </xdr:from>
    <xdr:ext cx="76200" cy="259081"/>
    <xdr:sp macro="" textlink="">
      <xdr:nvSpPr>
        <xdr:cNvPr id="503" name="Text Box 27">
          <a:extLst>
            <a:ext uri="{FF2B5EF4-FFF2-40B4-BE49-F238E27FC236}">
              <a16:creationId xmlns:a16="http://schemas.microsoft.com/office/drawing/2014/main" id="{BE4E3E91-434F-46FE-B3A5-F20CA8CCF65F}"/>
            </a:ext>
          </a:extLst>
        </xdr:cNvPr>
        <xdr:cNvSpPr txBox="1">
          <a:spLocks noChangeArrowheads="1"/>
        </xdr:cNvSpPr>
      </xdr:nvSpPr>
      <xdr:spPr bwMode="auto">
        <a:xfrm>
          <a:off x="9753600" y="5852160"/>
          <a:ext cx="76200" cy="2590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35</xdr:row>
      <xdr:rowOff>0</xdr:rowOff>
    </xdr:from>
    <xdr:ext cx="76200" cy="259081"/>
    <xdr:sp macro="" textlink="">
      <xdr:nvSpPr>
        <xdr:cNvPr id="504" name="Text Box 28">
          <a:extLst>
            <a:ext uri="{FF2B5EF4-FFF2-40B4-BE49-F238E27FC236}">
              <a16:creationId xmlns:a16="http://schemas.microsoft.com/office/drawing/2014/main" id="{FD260FA6-2643-4006-A07F-61928C4AD1E5}"/>
            </a:ext>
          </a:extLst>
        </xdr:cNvPr>
        <xdr:cNvSpPr txBox="1">
          <a:spLocks noChangeArrowheads="1"/>
        </xdr:cNvSpPr>
      </xdr:nvSpPr>
      <xdr:spPr bwMode="auto">
        <a:xfrm>
          <a:off x="9753600" y="5852160"/>
          <a:ext cx="76200" cy="2590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35</xdr:row>
      <xdr:rowOff>0</xdr:rowOff>
    </xdr:from>
    <xdr:ext cx="76200" cy="259081"/>
    <xdr:sp macro="" textlink="">
      <xdr:nvSpPr>
        <xdr:cNvPr id="505" name="Text Box 25">
          <a:extLst>
            <a:ext uri="{FF2B5EF4-FFF2-40B4-BE49-F238E27FC236}">
              <a16:creationId xmlns:a16="http://schemas.microsoft.com/office/drawing/2014/main" id="{C5D6B8D8-42C9-445C-BF01-C138B27C6D79}"/>
            </a:ext>
          </a:extLst>
        </xdr:cNvPr>
        <xdr:cNvSpPr txBox="1">
          <a:spLocks noChangeArrowheads="1"/>
        </xdr:cNvSpPr>
      </xdr:nvSpPr>
      <xdr:spPr bwMode="auto">
        <a:xfrm>
          <a:off x="9753600" y="5852160"/>
          <a:ext cx="76200" cy="2590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35</xdr:row>
      <xdr:rowOff>0</xdr:rowOff>
    </xdr:from>
    <xdr:ext cx="76200" cy="259081"/>
    <xdr:sp macro="" textlink="">
      <xdr:nvSpPr>
        <xdr:cNvPr id="506" name="Text Box 26">
          <a:extLst>
            <a:ext uri="{FF2B5EF4-FFF2-40B4-BE49-F238E27FC236}">
              <a16:creationId xmlns:a16="http://schemas.microsoft.com/office/drawing/2014/main" id="{D192DCE3-F6D9-4FF2-9BA7-564FCA4AA134}"/>
            </a:ext>
          </a:extLst>
        </xdr:cNvPr>
        <xdr:cNvSpPr txBox="1">
          <a:spLocks noChangeArrowheads="1"/>
        </xdr:cNvSpPr>
      </xdr:nvSpPr>
      <xdr:spPr bwMode="auto">
        <a:xfrm>
          <a:off x="9753600" y="5852160"/>
          <a:ext cx="76200" cy="2590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35</xdr:row>
      <xdr:rowOff>0</xdr:rowOff>
    </xdr:from>
    <xdr:ext cx="76200" cy="259081"/>
    <xdr:sp macro="" textlink="">
      <xdr:nvSpPr>
        <xdr:cNvPr id="507" name="Text Box 27">
          <a:extLst>
            <a:ext uri="{FF2B5EF4-FFF2-40B4-BE49-F238E27FC236}">
              <a16:creationId xmlns:a16="http://schemas.microsoft.com/office/drawing/2014/main" id="{90EF461A-99C2-42DE-9E32-EF8C89E3F836}"/>
            </a:ext>
          </a:extLst>
        </xdr:cNvPr>
        <xdr:cNvSpPr txBox="1">
          <a:spLocks noChangeArrowheads="1"/>
        </xdr:cNvSpPr>
      </xdr:nvSpPr>
      <xdr:spPr bwMode="auto">
        <a:xfrm>
          <a:off x="9753600" y="5852160"/>
          <a:ext cx="76200" cy="2590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35</xdr:row>
      <xdr:rowOff>0</xdr:rowOff>
    </xdr:from>
    <xdr:ext cx="76200" cy="259081"/>
    <xdr:sp macro="" textlink="">
      <xdr:nvSpPr>
        <xdr:cNvPr id="508" name="Text Box 28">
          <a:extLst>
            <a:ext uri="{FF2B5EF4-FFF2-40B4-BE49-F238E27FC236}">
              <a16:creationId xmlns:a16="http://schemas.microsoft.com/office/drawing/2014/main" id="{D6EF9AC4-1717-4275-8429-A615CE757292}"/>
            </a:ext>
          </a:extLst>
        </xdr:cNvPr>
        <xdr:cNvSpPr txBox="1">
          <a:spLocks noChangeArrowheads="1"/>
        </xdr:cNvSpPr>
      </xdr:nvSpPr>
      <xdr:spPr bwMode="auto">
        <a:xfrm>
          <a:off x="9753600" y="5852160"/>
          <a:ext cx="76200" cy="2590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37</xdr:row>
      <xdr:rowOff>0</xdr:rowOff>
    </xdr:from>
    <xdr:ext cx="76200" cy="259076"/>
    <xdr:sp macro="" textlink="">
      <xdr:nvSpPr>
        <xdr:cNvPr id="509" name="Text Box 25">
          <a:extLst>
            <a:ext uri="{FF2B5EF4-FFF2-40B4-BE49-F238E27FC236}">
              <a16:creationId xmlns:a16="http://schemas.microsoft.com/office/drawing/2014/main" id="{7F01C9FF-A3B4-40AC-B9A9-8BD8DFAA4C0F}"/>
            </a:ext>
          </a:extLst>
        </xdr:cNvPr>
        <xdr:cNvSpPr txBox="1">
          <a:spLocks noChangeArrowheads="1"/>
        </xdr:cNvSpPr>
      </xdr:nvSpPr>
      <xdr:spPr bwMode="auto">
        <a:xfrm>
          <a:off x="9753600" y="6217920"/>
          <a:ext cx="76200" cy="2590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37</xdr:row>
      <xdr:rowOff>0</xdr:rowOff>
    </xdr:from>
    <xdr:ext cx="76200" cy="259076"/>
    <xdr:sp macro="" textlink="">
      <xdr:nvSpPr>
        <xdr:cNvPr id="510" name="Text Box 26">
          <a:extLst>
            <a:ext uri="{FF2B5EF4-FFF2-40B4-BE49-F238E27FC236}">
              <a16:creationId xmlns:a16="http://schemas.microsoft.com/office/drawing/2014/main" id="{115433A8-A7F0-423C-999E-103D16A85A07}"/>
            </a:ext>
          </a:extLst>
        </xdr:cNvPr>
        <xdr:cNvSpPr txBox="1">
          <a:spLocks noChangeArrowheads="1"/>
        </xdr:cNvSpPr>
      </xdr:nvSpPr>
      <xdr:spPr bwMode="auto">
        <a:xfrm>
          <a:off x="9753600" y="6217920"/>
          <a:ext cx="76200" cy="2590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37</xdr:row>
      <xdr:rowOff>0</xdr:rowOff>
    </xdr:from>
    <xdr:ext cx="76200" cy="259076"/>
    <xdr:sp macro="" textlink="">
      <xdr:nvSpPr>
        <xdr:cNvPr id="511" name="Text Box 27">
          <a:extLst>
            <a:ext uri="{FF2B5EF4-FFF2-40B4-BE49-F238E27FC236}">
              <a16:creationId xmlns:a16="http://schemas.microsoft.com/office/drawing/2014/main" id="{B0EED0B0-986F-445D-AF72-E2242B68DFDC}"/>
            </a:ext>
          </a:extLst>
        </xdr:cNvPr>
        <xdr:cNvSpPr txBox="1">
          <a:spLocks noChangeArrowheads="1"/>
        </xdr:cNvSpPr>
      </xdr:nvSpPr>
      <xdr:spPr bwMode="auto">
        <a:xfrm>
          <a:off x="9753600" y="6217920"/>
          <a:ext cx="76200" cy="2590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37</xdr:row>
      <xdr:rowOff>0</xdr:rowOff>
    </xdr:from>
    <xdr:ext cx="76200" cy="259076"/>
    <xdr:sp macro="" textlink="">
      <xdr:nvSpPr>
        <xdr:cNvPr id="512" name="Text Box 28">
          <a:extLst>
            <a:ext uri="{FF2B5EF4-FFF2-40B4-BE49-F238E27FC236}">
              <a16:creationId xmlns:a16="http://schemas.microsoft.com/office/drawing/2014/main" id="{A92F26BA-557F-4C58-AEE6-C2EEA84AB355}"/>
            </a:ext>
          </a:extLst>
        </xdr:cNvPr>
        <xdr:cNvSpPr txBox="1">
          <a:spLocks noChangeArrowheads="1"/>
        </xdr:cNvSpPr>
      </xdr:nvSpPr>
      <xdr:spPr bwMode="auto">
        <a:xfrm>
          <a:off x="9753600" y="6217920"/>
          <a:ext cx="76200" cy="2590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37</xdr:row>
      <xdr:rowOff>0</xdr:rowOff>
    </xdr:from>
    <xdr:ext cx="76200" cy="259076"/>
    <xdr:sp macro="" textlink="">
      <xdr:nvSpPr>
        <xdr:cNvPr id="513" name="Text Box 25">
          <a:extLst>
            <a:ext uri="{FF2B5EF4-FFF2-40B4-BE49-F238E27FC236}">
              <a16:creationId xmlns:a16="http://schemas.microsoft.com/office/drawing/2014/main" id="{4AD80193-F787-41F2-993C-145DB8A5E437}"/>
            </a:ext>
          </a:extLst>
        </xdr:cNvPr>
        <xdr:cNvSpPr txBox="1">
          <a:spLocks noChangeArrowheads="1"/>
        </xdr:cNvSpPr>
      </xdr:nvSpPr>
      <xdr:spPr bwMode="auto">
        <a:xfrm>
          <a:off x="9753600" y="6217920"/>
          <a:ext cx="76200" cy="2590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37</xdr:row>
      <xdr:rowOff>0</xdr:rowOff>
    </xdr:from>
    <xdr:ext cx="76200" cy="259076"/>
    <xdr:sp macro="" textlink="">
      <xdr:nvSpPr>
        <xdr:cNvPr id="514" name="Text Box 26">
          <a:extLst>
            <a:ext uri="{FF2B5EF4-FFF2-40B4-BE49-F238E27FC236}">
              <a16:creationId xmlns:a16="http://schemas.microsoft.com/office/drawing/2014/main" id="{1348594D-585D-4560-B749-A2BC1DCE8D6F}"/>
            </a:ext>
          </a:extLst>
        </xdr:cNvPr>
        <xdr:cNvSpPr txBox="1">
          <a:spLocks noChangeArrowheads="1"/>
        </xdr:cNvSpPr>
      </xdr:nvSpPr>
      <xdr:spPr bwMode="auto">
        <a:xfrm>
          <a:off x="9753600" y="6217920"/>
          <a:ext cx="76200" cy="2590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37</xdr:row>
      <xdr:rowOff>0</xdr:rowOff>
    </xdr:from>
    <xdr:ext cx="76200" cy="259076"/>
    <xdr:sp macro="" textlink="">
      <xdr:nvSpPr>
        <xdr:cNvPr id="515" name="Text Box 27">
          <a:extLst>
            <a:ext uri="{FF2B5EF4-FFF2-40B4-BE49-F238E27FC236}">
              <a16:creationId xmlns:a16="http://schemas.microsoft.com/office/drawing/2014/main" id="{FE9AC5D9-8FC1-43F1-81C7-18CE990F9B90}"/>
            </a:ext>
          </a:extLst>
        </xdr:cNvPr>
        <xdr:cNvSpPr txBox="1">
          <a:spLocks noChangeArrowheads="1"/>
        </xdr:cNvSpPr>
      </xdr:nvSpPr>
      <xdr:spPr bwMode="auto">
        <a:xfrm>
          <a:off x="9753600" y="6217920"/>
          <a:ext cx="76200" cy="2590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37</xdr:row>
      <xdr:rowOff>0</xdr:rowOff>
    </xdr:from>
    <xdr:ext cx="76200" cy="259076"/>
    <xdr:sp macro="" textlink="">
      <xdr:nvSpPr>
        <xdr:cNvPr id="516" name="Text Box 28">
          <a:extLst>
            <a:ext uri="{FF2B5EF4-FFF2-40B4-BE49-F238E27FC236}">
              <a16:creationId xmlns:a16="http://schemas.microsoft.com/office/drawing/2014/main" id="{127BCE7F-D30E-418D-BD98-A3CAA0B20163}"/>
            </a:ext>
          </a:extLst>
        </xdr:cNvPr>
        <xdr:cNvSpPr txBox="1">
          <a:spLocks noChangeArrowheads="1"/>
        </xdr:cNvSpPr>
      </xdr:nvSpPr>
      <xdr:spPr bwMode="auto">
        <a:xfrm>
          <a:off x="9753600" y="6217920"/>
          <a:ext cx="76200" cy="2590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46</xdr:row>
      <xdr:rowOff>0</xdr:rowOff>
    </xdr:from>
    <xdr:ext cx="76200" cy="259080"/>
    <xdr:sp macro="" textlink="">
      <xdr:nvSpPr>
        <xdr:cNvPr id="517" name="Text Box 25">
          <a:extLst>
            <a:ext uri="{FF2B5EF4-FFF2-40B4-BE49-F238E27FC236}">
              <a16:creationId xmlns:a16="http://schemas.microsoft.com/office/drawing/2014/main" id="{5F39472A-F470-4AA9-8A71-81EED79A1055}"/>
            </a:ext>
          </a:extLst>
        </xdr:cNvPr>
        <xdr:cNvSpPr txBox="1">
          <a:spLocks noChangeArrowheads="1"/>
        </xdr:cNvSpPr>
      </xdr:nvSpPr>
      <xdr:spPr bwMode="auto">
        <a:xfrm>
          <a:off x="10363200" y="7863840"/>
          <a:ext cx="76200" cy="259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0</xdr:colOff>
      <xdr:row>3</xdr:row>
      <xdr:rowOff>0</xdr:rowOff>
    </xdr:from>
    <xdr:ext cx="76200" cy="205740"/>
    <xdr:sp macro="" textlink="">
      <xdr:nvSpPr>
        <xdr:cNvPr id="2" name="Text Box 25">
          <a:extLst>
            <a:ext uri="{FF2B5EF4-FFF2-40B4-BE49-F238E27FC236}">
              <a16:creationId xmlns:a16="http://schemas.microsoft.com/office/drawing/2014/main" id="{909944DB-3755-4595-BB76-F0EF00CCC69C}"/>
            </a:ext>
          </a:extLst>
        </xdr:cNvPr>
        <xdr:cNvSpPr txBox="1">
          <a:spLocks noChangeArrowheads="1"/>
        </xdr:cNvSpPr>
      </xdr:nvSpPr>
      <xdr:spPr bwMode="auto">
        <a:xfrm>
          <a:off x="9997440" y="0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3</xdr:row>
      <xdr:rowOff>0</xdr:rowOff>
    </xdr:from>
    <xdr:ext cx="76200" cy="205740"/>
    <xdr:sp macro="" textlink="">
      <xdr:nvSpPr>
        <xdr:cNvPr id="3" name="Text Box 26">
          <a:extLst>
            <a:ext uri="{FF2B5EF4-FFF2-40B4-BE49-F238E27FC236}">
              <a16:creationId xmlns:a16="http://schemas.microsoft.com/office/drawing/2014/main" id="{72E098E4-9862-47C6-86E4-F6DC10145564}"/>
            </a:ext>
          </a:extLst>
        </xdr:cNvPr>
        <xdr:cNvSpPr txBox="1">
          <a:spLocks noChangeArrowheads="1"/>
        </xdr:cNvSpPr>
      </xdr:nvSpPr>
      <xdr:spPr bwMode="auto">
        <a:xfrm>
          <a:off x="9997440" y="0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3</xdr:row>
      <xdr:rowOff>0</xdr:rowOff>
    </xdr:from>
    <xdr:ext cx="76200" cy="205740"/>
    <xdr:sp macro="" textlink="">
      <xdr:nvSpPr>
        <xdr:cNvPr id="4" name="Text Box 27">
          <a:extLst>
            <a:ext uri="{FF2B5EF4-FFF2-40B4-BE49-F238E27FC236}">
              <a16:creationId xmlns:a16="http://schemas.microsoft.com/office/drawing/2014/main" id="{12FB3EC7-A2A5-4062-87E5-1748EEDA0815}"/>
            </a:ext>
          </a:extLst>
        </xdr:cNvPr>
        <xdr:cNvSpPr txBox="1">
          <a:spLocks noChangeArrowheads="1"/>
        </xdr:cNvSpPr>
      </xdr:nvSpPr>
      <xdr:spPr bwMode="auto">
        <a:xfrm>
          <a:off x="9997440" y="0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3</xdr:row>
      <xdr:rowOff>0</xdr:rowOff>
    </xdr:from>
    <xdr:ext cx="76200" cy="205740"/>
    <xdr:sp macro="" textlink="">
      <xdr:nvSpPr>
        <xdr:cNvPr id="5" name="Text Box 28">
          <a:extLst>
            <a:ext uri="{FF2B5EF4-FFF2-40B4-BE49-F238E27FC236}">
              <a16:creationId xmlns:a16="http://schemas.microsoft.com/office/drawing/2014/main" id="{97C7F611-3CEC-48A4-8BBD-C87920B7467F}"/>
            </a:ext>
          </a:extLst>
        </xdr:cNvPr>
        <xdr:cNvSpPr txBox="1">
          <a:spLocks noChangeArrowheads="1"/>
        </xdr:cNvSpPr>
      </xdr:nvSpPr>
      <xdr:spPr bwMode="auto">
        <a:xfrm>
          <a:off x="9997440" y="0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4</xdr:row>
      <xdr:rowOff>0</xdr:rowOff>
    </xdr:from>
    <xdr:ext cx="76200" cy="199801"/>
    <xdr:sp macro="" textlink="">
      <xdr:nvSpPr>
        <xdr:cNvPr id="6" name="Text Box 25">
          <a:extLst>
            <a:ext uri="{FF2B5EF4-FFF2-40B4-BE49-F238E27FC236}">
              <a16:creationId xmlns:a16="http://schemas.microsoft.com/office/drawing/2014/main" id="{A116B3D4-B0C2-4E94-827E-D9CF61BE1FD6}"/>
            </a:ext>
          </a:extLst>
        </xdr:cNvPr>
        <xdr:cNvSpPr txBox="1">
          <a:spLocks noChangeArrowheads="1"/>
        </xdr:cNvSpPr>
      </xdr:nvSpPr>
      <xdr:spPr bwMode="auto">
        <a:xfrm>
          <a:off x="9997440" y="182880"/>
          <a:ext cx="76200" cy="1998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4</xdr:row>
      <xdr:rowOff>0</xdr:rowOff>
    </xdr:from>
    <xdr:ext cx="76200" cy="199801"/>
    <xdr:sp macro="" textlink="">
      <xdr:nvSpPr>
        <xdr:cNvPr id="7" name="Text Box 26">
          <a:extLst>
            <a:ext uri="{FF2B5EF4-FFF2-40B4-BE49-F238E27FC236}">
              <a16:creationId xmlns:a16="http://schemas.microsoft.com/office/drawing/2014/main" id="{300BC525-3C8A-4FF1-85A7-5032E0607717}"/>
            </a:ext>
          </a:extLst>
        </xdr:cNvPr>
        <xdr:cNvSpPr txBox="1">
          <a:spLocks noChangeArrowheads="1"/>
        </xdr:cNvSpPr>
      </xdr:nvSpPr>
      <xdr:spPr bwMode="auto">
        <a:xfrm>
          <a:off x="9997440" y="182880"/>
          <a:ext cx="76200" cy="1998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4</xdr:row>
      <xdr:rowOff>0</xdr:rowOff>
    </xdr:from>
    <xdr:ext cx="76200" cy="199801"/>
    <xdr:sp macro="" textlink="">
      <xdr:nvSpPr>
        <xdr:cNvPr id="8" name="Text Box 27">
          <a:extLst>
            <a:ext uri="{FF2B5EF4-FFF2-40B4-BE49-F238E27FC236}">
              <a16:creationId xmlns:a16="http://schemas.microsoft.com/office/drawing/2014/main" id="{45287C4E-85C7-49B0-AF0A-B2E17A7BED85}"/>
            </a:ext>
          </a:extLst>
        </xdr:cNvPr>
        <xdr:cNvSpPr txBox="1">
          <a:spLocks noChangeArrowheads="1"/>
        </xdr:cNvSpPr>
      </xdr:nvSpPr>
      <xdr:spPr bwMode="auto">
        <a:xfrm>
          <a:off x="9997440" y="182880"/>
          <a:ext cx="76200" cy="1998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342900</xdr:colOff>
      <xdr:row>4</xdr:row>
      <xdr:rowOff>0</xdr:rowOff>
    </xdr:from>
    <xdr:ext cx="80857" cy="199801"/>
    <xdr:sp macro="" textlink="">
      <xdr:nvSpPr>
        <xdr:cNvPr id="9" name="Text Box 28">
          <a:extLst>
            <a:ext uri="{FF2B5EF4-FFF2-40B4-BE49-F238E27FC236}">
              <a16:creationId xmlns:a16="http://schemas.microsoft.com/office/drawing/2014/main" id="{506679B8-8C56-4C8D-9AF7-8FD1E2B0BCB4}"/>
            </a:ext>
          </a:extLst>
        </xdr:cNvPr>
        <xdr:cNvSpPr txBox="1">
          <a:spLocks noChangeArrowheads="1"/>
        </xdr:cNvSpPr>
      </xdr:nvSpPr>
      <xdr:spPr bwMode="auto">
        <a:xfrm>
          <a:off x="9715500" y="182880"/>
          <a:ext cx="80857" cy="1998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130</xdr:row>
      <xdr:rowOff>0</xdr:rowOff>
    </xdr:from>
    <xdr:ext cx="76200" cy="237901"/>
    <xdr:sp macro="" textlink="">
      <xdr:nvSpPr>
        <xdr:cNvPr id="10" name="Text Box 25">
          <a:extLst>
            <a:ext uri="{FF2B5EF4-FFF2-40B4-BE49-F238E27FC236}">
              <a16:creationId xmlns:a16="http://schemas.microsoft.com/office/drawing/2014/main" id="{4413966C-4FE7-417E-A7DD-D7D241B1BE6C}"/>
            </a:ext>
          </a:extLst>
        </xdr:cNvPr>
        <xdr:cNvSpPr txBox="1">
          <a:spLocks noChangeArrowheads="1"/>
        </xdr:cNvSpPr>
      </xdr:nvSpPr>
      <xdr:spPr bwMode="auto">
        <a:xfrm>
          <a:off x="9997440" y="24140160"/>
          <a:ext cx="76200" cy="2379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130</xdr:row>
      <xdr:rowOff>0</xdr:rowOff>
    </xdr:from>
    <xdr:ext cx="76200" cy="237901"/>
    <xdr:sp macro="" textlink="">
      <xdr:nvSpPr>
        <xdr:cNvPr id="11" name="Text Box 26">
          <a:extLst>
            <a:ext uri="{FF2B5EF4-FFF2-40B4-BE49-F238E27FC236}">
              <a16:creationId xmlns:a16="http://schemas.microsoft.com/office/drawing/2014/main" id="{1F1C2F6F-48F4-47F2-BC95-D9EFB4479579}"/>
            </a:ext>
          </a:extLst>
        </xdr:cNvPr>
        <xdr:cNvSpPr txBox="1">
          <a:spLocks noChangeArrowheads="1"/>
        </xdr:cNvSpPr>
      </xdr:nvSpPr>
      <xdr:spPr bwMode="auto">
        <a:xfrm>
          <a:off x="9997440" y="24140160"/>
          <a:ext cx="76200" cy="2379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130</xdr:row>
      <xdr:rowOff>0</xdr:rowOff>
    </xdr:from>
    <xdr:ext cx="76200" cy="237901"/>
    <xdr:sp macro="" textlink="">
      <xdr:nvSpPr>
        <xdr:cNvPr id="12" name="Text Box 27">
          <a:extLst>
            <a:ext uri="{FF2B5EF4-FFF2-40B4-BE49-F238E27FC236}">
              <a16:creationId xmlns:a16="http://schemas.microsoft.com/office/drawing/2014/main" id="{37AB3A63-2F11-4BAF-B722-89ACD0452039}"/>
            </a:ext>
          </a:extLst>
        </xdr:cNvPr>
        <xdr:cNvSpPr txBox="1">
          <a:spLocks noChangeArrowheads="1"/>
        </xdr:cNvSpPr>
      </xdr:nvSpPr>
      <xdr:spPr bwMode="auto">
        <a:xfrm>
          <a:off x="9997440" y="24140160"/>
          <a:ext cx="76200" cy="2379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130</xdr:row>
      <xdr:rowOff>0</xdr:rowOff>
    </xdr:from>
    <xdr:ext cx="76200" cy="237901"/>
    <xdr:sp macro="" textlink="">
      <xdr:nvSpPr>
        <xdr:cNvPr id="13" name="Text Box 28">
          <a:extLst>
            <a:ext uri="{FF2B5EF4-FFF2-40B4-BE49-F238E27FC236}">
              <a16:creationId xmlns:a16="http://schemas.microsoft.com/office/drawing/2014/main" id="{3D87B933-F543-48BE-8932-8BA3C85AABD2}"/>
            </a:ext>
          </a:extLst>
        </xdr:cNvPr>
        <xdr:cNvSpPr txBox="1">
          <a:spLocks noChangeArrowheads="1"/>
        </xdr:cNvSpPr>
      </xdr:nvSpPr>
      <xdr:spPr bwMode="auto">
        <a:xfrm>
          <a:off x="9997440" y="24140160"/>
          <a:ext cx="76200" cy="2379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41</xdr:row>
      <xdr:rowOff>0</xdr:rowOff>
    </xdr:from>
    <xdr:ext cx="76200" cy="183552"/>
    <xdr:sp macro="" textlink="">
      <xdr:nvSpPr>
        <xdr:cNvPr id="14" name="Text Box 25">
          <a:extLst>
            <a:ext uri="{FF2B5EF4-FFF2-40B4-BE49-F238E27FC236}">
              <a16:creationId xmlns:a16="http://schemas.microsoft.com/office/drawing/2014/main" id="{3F337DE3-063C-4F38-80C2-A6E10E1FC21F}"/>
            </a:ext>
          </a:extLst>
        </xdr:cNvPr>
        <xdr:cNvSpPr txBox="1">
          <a:spLocks noChangeArrowheads="1"/>
        </xdr:cNvSpPr>
      </xdr:nvSpPr>
      <xdr:spPr bwMode="auto">
        <a:xfrm>
          <a:off x="9997440" y="7132320"/>
          <a:ext cx="76200" cy="1835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41</xdr:row>
      <xdr:rowOff>0</xdr:rowOff>
    </xdr:from>
    <xdr:ext cx="76200" cy="183552"/>
    <xdr:sp macro="" textlink="">
      <xdr:nvSpPr>
        <xdr:cNvPr id="15" name="Text Box 26">
          <a:extLst>
            <a:ext uri="{FF2B5EF4-FFF2-40B4-BE49-F238E27FC236}">
              <a16:creationId xmlns:a16="http://schemas.microsoft.com/office/drawing/2014/main" id="{BC444FB7-C98D-42BB-B4A5-0FBA22C0C253}"/>
            </a:ext>
          </a:extLst>
        </xdr:cNvPr>
        <xdr:cNvSpPr txBox="1">
          <a:spLocks noChangeArrowheads="1"/>
        </xdr:cNvSpPr>
      </xdr:nvSpPr>
      <xdr:spPr bwMode="auto">
        <a:xfrm>
          <a:off x="9997440" y="7132320"/>
          <a:ext cx="76200" cy="1835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41</xdr:row>
      <xdr:rowOff>0</xdr:rowOff>
    </xdr:from>
    <xdr:ext cx="76200" cy="183552"/>
    <xdr:sp macro="" textlink="">
      <xdr:nvSpPr>
        <xdr:cNvPr id="16" name="Text Box 27">
          <a:extLst>
            <a:ext uri="{FF2B5EF4-FFF2-40B4-BE49-F238E27FC236}">
              <a16:creationId xmlns:a16="http://schemas.microsoft.com/office/drawing/2014/main" id="{49A8EB0C-B955-4687-8505-27D637F45026}"/>
            </a:ext>
          </a:extLst>
        </xdr:cNvPr>
        <xdr:cNvSpPr txBox="1">
          <a:spLocks noChangeArrowheads="1"/>
        </xdr:cNvSpPr>
      </xdr:nvSpPr>
      <xdr:spPr bwMode="auto">
        <a:xfrm>
          <a:off x="9997440" y="7132320"/>
          <a:ext cx="76200" cy="1835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41</xdr:row>
      <xdr:rowOff>0</xdr:rowOff>
    </xdr:from>
    <xdr:ext cx="76200" cy="183552"/>
    <xdr:sp macro="" textlink="">
      <xdr:nvSpPr>
        <xdr:cNvPr id="17" name="Text Box 28">
          <a:extLst>
            <a:ext uri="{FF2B5EF4-FFF2-40B4-BE49-F238E27FC236}">
              <a16:creationId xmlns:a16="http://schemas.microsoft.com/office/drawing/2014/main" id="{E5A1D7AD-4A96-4027-B47C-A698B9DAB114}"/>
            </a:ext>
          </a:extLst>
        </xdr:cNvPr>
        <xdr:cNvSpPr txBox="1">
          <a:spLocks noChangeArrowheads="1"/>
        </xdr:cNvSpPr>
      </xdr:nvSpPr>
      <xdr:spPr bwMode="auto">
        <a:xfrm>
          <a:off x="9997440" y="7132320"/>
          <a:ext cx="76200" cy="1835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130</xdr:row>
      <xdr:rowOff>0</xdr:rowOff>
    </xdr:from>
    <xdr:ext cx="76200" cy="178846"/>
    <xdr:sp macro="" textlink="">
      <xdr:nvSpPr>
        <xdr:cNvPr id="18" name="Text Box 25">
          <a:extLst>
            <a:ext uri="{FF2B5EF4-FFF2-40B4-BE49-F238E27FC236}">
              <a16:creationId xmlns:a16="http://schemas.microsoft.com/office/drawing/2014/main" id="{8E2C68E9-DD91-4EA4-B93F-07ED5961C1B7}"/>
            </a:ext>
          </a:extLst>
        </xdr:cNvPr>
        <xdr:cNvSpPr txBox="1">
          <a:spLocks noChangeArrowheads="1"/>
        </xdr:cNvSpPr>
      </xdr:nvSpPr>
      <xdr:spPr bwMode="auto">
        <a:xfrm>
          <a:off x="9372600" y="24140160"/>
          <a:ext cx="76200" cy="1788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130</xdr:row>
      <xdr:rowOff>0</xdr:rowOff>
    </xdr:from>
    <xdr:ext cx="76200" cy="178846"/>
    <xdr:sp macro="" textlink="">
      <xdr:nvSpPr>
        <xdr:cNvPr id="19" name="Text Box 26">
          <a:extLst>
            <a:ext uri="{FF2B5EF4-FFF2-40B4-BE49-F238E27FC236}">
              <a16:creationId xmlns:a16="http://schemas.microsoft.com/office/drawing/2014/main" id="{A4E6CEA6-9103-4E30-B7CB-CDEAEAA49214}"/>
            </a:ext>
          </a:extLst>
        </xdr:cNvPr>
        <xdr:cNvSpPr txBox="1">
          <a:spLocks noChangeArrowheads="1"/>
        </xdr:cNvSpPr>
      </xdr:nvSpPr>
      <xdr:spPr bwMode="auto">
        <a:xfrm>
          <a:off x="9372600" y="24140160"/>
          <a:ext cx="76200" cy="1788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130</xdr:row>
      <xdr:rowOff>0</xdr:rowOff>
    </xdr:from>
    <xdr:ext cx="76200" cy="178846"/>
    <xdr:sp macro="" textlink="">
      <xdr:nvSpPr>
        <xdr:cNvPr id="20" name="Text Box 27">
          <a:extLst>
            <a:ext uri="{FF2B5EF4-FFF2-40B4-BE49-F238E27FC236}">
              <a16:creationId xmlns:a16="http://schemas.microsoft.com/office/drawing/2014/main" id="{EB2950E8-B88F-44EC-BC90-6BC3D1AB03C2}"/>
            </a:ext>
          </a:extLst>
        </xdr:cNvPr>
        <xdr:cNvSpPr txBox="1">
          <a:spLocks noChangeArrowheads="1"/>
        </xdr:cNvSpPr>
      </xdr:nvSpPr>
      <xdr:spPr bwMode="auto">
        <a:xfrm>
          <a:off x="9372600" y="24140160"/>
          <a:ext cx="76200" cy="1788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130</xdr:row>
      <xdr:rowOff>0</xdr:rowOff>
    </xdr:from>
    <xdr:ext cx="76200" cy="178846"/>
    <xdr:sp macro="" textlink="">
      <xdr:nvSpPr>
        <xdr:cNvPr id="21" name="Text Box 28">
          <a:extLst>
            <a:ext uri="{FF2B5EF4-FFF2-40B4-BE49-F238E27FC236}">
              <a16:creationId xmlns:a16="http://schemas.microsoft.com/office/drawing/2014/main" id="{825EA604-3075-46C0-B425-A0B7A7CDACAE}"/>
            </a:ext>
          </a:extLst>
        </xdr:cNvPr>
        <xdr:cNvSpPr txBox="1">
          <a:spLocks noChangeArrowheads="1"/>
        </xdr:cNvSpPr>
      </xdr:nvSpPr>
      <xdr:spPr bwMode="auto">
        <a:xfrm>
          <a:off x="9372600" y="24140160"/>
          <a:ext cx="76200" cy="1788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130</xdr:row>
      <xdr:rowOff>0</xdr:rowOff>
    </xdr:from>
    <xdr:ext cx="76200" cy="165959"/>
    <xdr:sp macro="" textlink="">
      <xdr:nvSpPr>
        <xdr:cNvPr id="22" name="Text Box 25">
          <a:extLst>
            <a:ext uri="{FF2B5EF4-FFF2-40B4-BE49-F238E27FC236}">
              <a16:creationId xmlns:a16="http://schemas.microsoft.com/office/drawing/2014/main" id="{685297E4-5420-452B-BA13-629804AF7B59}"/>
            </a:ext>
          </a:extLst>
        </xdr:cNvPr>
        <xdr:cNvSpPr txBox="1">
          <a:spLocks noChangeArrowheads="1"/>
        </xdr:cNvSpPr>
      </xdr:nvSpPr>
      <xdr:spPr bwMode="auto">
        <a:xfrm>
          <a:off x="9372600" y="24140160"/>
          <a:ext cx="76200" cy="165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130</xdr:row>
      <xdr:rowOff>0</xdr:rowOff>
    </xdr:from>
    <xdr:ext cx="76200" cy="165959"/>
    <xdr:sp macro="" textlink="">
      <xdr:nvSpPr>
        <xdr:cNvPr id="23" name="Text Box 26">
          <a:extLst>
            <a:ext uri="{FF2B5EF4-FFF2-40B4-BE49-F238E27FC236}">
              <a16:creationId xmlns:a16="http://schemas.microsoft.com/office/drawing/2014/main" id="{C5CB2F09-9968-4E67-872F-6095D512C460}"/>
            </a:ext>
          </a:extLst>
        </xdr:cNvPr>
        <xdr:cNvSpPr txBox="1">
          <a:spLocks noChangeArrowheads="1"/>
        </xdr:cNvSpPr>
      </xdr:nvSpPr>
      <xdr:spPr bwMode="auto">
        <a:xfrm>
          <a:off x="9372600" y="24140160"/>
          <a:ext cx="76200" cy="165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130</xdr:row>
      <xdr:rowOff>0</xdr:rowOff>
    </xdr:from>
    <xdr:ext cx="76200" cy="165959"/>
    <xdr:sp macro="" textlink="">
      <xdr:nvSpPr>
        <xdr:cNvPr id="24" name="Text Box 27">
          <a:extLst>
            <a:ext uri="{FF2B5EF4-FFF2-40B4-BE49-F238E27FC236}">
              <a16:creationId xmlns:a16="http://schemas.microsoft.com/office/drawing/2014/main" id="{96D2AC59-4C7D-4BF4-B0C5-C324528F7773}"/>
            </a:ext>
          </a:extLst>
        </xdr:cNvPr>
        <xdr:cNvSpPr txBox="1">
          <a:spLocks noChangeArrowheads="1"/>
        </xdr:cNvSpPr>
      </xdr:nvSpPr>
      <xdr:spPr bwMode="auto">
        <a:xfrm>
          <a:off x="9372600" y="24140160"/>
          <a:ext cx="76200" cy="165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130</xdr:row>
      <xdr:rowOff>0</xdr:rowOff>
    </xdr:from>
    <xdr:ext cx="76200" cy="165959"/>
    <xdr:sp macro="" textlink="">
      <xdr:nvSpPr>
        <xdr:cNvPr id="25" name="Text Box 25">
          <a:extLst>
            <a:ext uri="{FF2B5EF4-FFF2-40B4-BE49-F238E27FC236}">
              <a16:creationId xmlns:a16="http://schemas.microsoft.com/office/drawing/2014/main" id="{8253F740-549A-41A9-9686-A9C67AFAF393}"/>
            </a:ext>
          </a:extLst>
        </xdr:cNvPr>
        <xdr:cNvSpPr txBox="1">
          <a:spLocks noChangeArrowheads="1"/>
        </xdr:cNvSpPr>
      </xdr:nvSpPr>
      <xdr:spPr bwMode="auto">
        <a:xfrm>
          <a:off x="9372600" y="24140160"/>
          <a:ext cx="76200" cy="165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130</xdr:row>
      <xdr:rowOff>0</xdr:rowOff>
    </xdr:from>
    <xdr:ext cx="76200" cy="165959"/>
    <xdr:sp macro="" textlink="">
      <xdr:nvSpPr>
        <xdr:cNvPr id="26" name="Text Box 26">
          <a:extLst>
            <a:ext uri="{FF2B5EF4-FFF2-40B4-BE49-F238E27FC236}">
              <a16:creationId xmlns:a16="http://schemas.microsoft.com/office/drawing/2014/main" id="{6FA8DFA0-7532-4030-8680-2956F5E19CD1}"/>
            </a:ext>
          </a:extLst>
        </xdr:cNvPr>
        <xdr:cNvSpPr txBox="1">
          <a:spLocks noChangeArrowheads="1"/>
        </xdr:cNvSpPr>
      </xdr:nvSpPr>
      <xdr:spPr bwMode="auto">
        <a:xfrm>
          <a:off x="9372600" y="24140160"/>
          <a:ext cx="76200" cy="165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130</xdr:row>
      <xdr:rowOff>0</xdr:rowOff>
    </xdr:from>
    <xdr:ext cx="76200" cy="165959"/>
    <xdr:sp macro="" textlink="">
      <xdr:nvSpPr>
        <xdr:cNvPr id="27" name="Text Box 27">
          <a:extLst>
            <a:ext uri="{FF2B5EF4-FFF2-40B4-BE49-F238E27FC236}">
              <a16:creationId xmlns:a16="http://schemas.microsoft.com/office/drawing/2014/main" id="{9833A7F9-D2A9-46F9-9A5B-6CB94DF76E8A}"/>
            </a:ext>
          </a:extLst>
        </xdr:cNvPr>
        <xdr:cNvSpPr txBox="1">
          <a:spLocks noChangeArrowheads="1"/>
        </xdr:cNvSpPr>
      </xdr:nvSpPr>
      <xdr:spPr bwMode="auto">
        <a:xfrm>
          <a:off x="9372600" y="24140160"/>
          <a:ext cx="76200" cy="165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130</xdr:row>
      <xdr:rowOff>0</xdr:rowOff>
    </xdr:from>
    <xdr:ext cx="76200" cy="165959"/>
    <xdr:sp macro="" textlink="">
      <xdr:nvSpPr>
        <xdr:cNvPr id="28" name="Text Box 28">
          <a:extLst>
            <a:ext uri="{FF2B5EF4-FFF2-40B4-BE49-F238E27FC236}">
              <a16:creationId xmlns:a16="http://schemas.microsoft.com/office/drawing/2014/main" id="{E8B7B628-6DA4-438D-80FC-5D37620227D1}"/>
            </a:ext>
          </a:extLst>
        </xdr:cNvPr>
        <xdr:cNvSpPr txBox="1">
          <a:spLocks noChangeArrowheads="1"/>
        </xdr:cNvSpPr>
      </xdr:nvSpPr>
      <xdr:spPr bwMode="auto">
        <a:xfrm>
          <a:off x="9372600" y="24140160"/>
          <a:ext cx="76200" cy="165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130</xdr:row>
      <xdr:rowOff>0</xdr:rowOff>
    </xdr:from>
    <xdr:ext cx="76200" cy="235996"/>
    <xdr:sp macro="" textlink="">
      <xdr:nvSpPr>
        <xdr:cNvPr id="29" name="Text Box 25">
          <a:extLst>
            <a:ext uri="{FF2B5EF4-FFF2-40B4-BE49-F238E27FC236}">
              <a16:creationId xmlns:a16="http://schemas.microsoft.com/office/drawing/2014/main" id="{F4E8537A-571D-48A4-B969-37C42BDDA159}"/>
            </a:ext>
          </a:extLst>
        </xdr:cNvPr>
        <xdr:cNvSpPr txBox="1">
          <a:spLocks noChangeArrowheads="1"/>
        </xdr:cNvSpPr>
      </xdr:nvSpPr>
      <xdr:spPr bwMode="auto">
        <a:xfrm>
          <a:off x="9997440" y="24140160"/>
          <a:ext cx="76200" cy="2359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130</xdr:row>
      <xdr:rowOff>0</xdr:rowOff>
    </xdr:from>
    <xdr:ext cx="76200" cy="235996"/>
    <xdr:sp macro="" textlink="">
      <xdr:nvSpPr>
        <xdr:cNvPr id="30" name="Text Box 26">
          <a:extLst>
            <a:ext uri="{FF2B5EF4-FFF2-40B4-BE49-F238E27FC236}">
              <a16:creationId xmlns:a16="http://schemas.microsoft.com/office/drawing/2014/main" id="{2329418E-D92E-40AA-840D-09B6AABAF3A6}"/>
            </a:ext>
          </a:extLst>
        </xdr:cNvPr>
        <xdr:cNvSpPr txBox="1">
          <a:spLocks noChangeArrowheads="1"/>
        </xdr:cNvSpPr>
      </xdr:nvSpPr>
      <xdr:spPr bwMode="auto">
        <a:xfrm>
          <a:off x="9997440" y="24140160"/>
          <a:ext cx="76200" cy="2359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130</xdr:row>
      <xdr:rowOff>0</xdr:rowOff>
    </xdr:from>
    <xdr:ext cx="76200" cy="235996"/>
    <xdr:sp macro="" textlink="">
      <xdr:nvSpPr>
        <xdr:cNvPr id="31" name="Text Box 27">
          <a:extLst>
            <a:ext uri="{FF2B5EF4-FFF2-40B4-BE49-F238E27FC236}">
              <a16:creationId xmlns:a16="http://schemas.microsoft.com/office/drawing/2014/main" id="{03129B2C-A6B3-49B6-A520-BC1F4A2FA641}"/>
            </a:ext>
          </a:extLst>
        </xdr:cNvPr>
        <xdr:cNvSpPr txBox="1">
          <a:spLocks noChangeArrowheads="1"/>
        </xdr:cNvSpPr>
      </xdr:nvSpPr>
      <xdr:spPr bwMode="auto">
        <a:xfrm>
          <a:off x="9997440" y="24140160"/>
          <a:ext cx="76200" cy="2359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130</xdr:row>
      <xdr:rowOff>0</xdr:rowOff>
    </xdr:from>
    <xdr:ext cx="76200" cy="235996"/>
    <xdr:sp macro="" textlink="">
      <xdr:nvSpPr>
        <xdr:cNvPr id="32" name="Text Box 28">
          <a:extLst>
            <a:ext uri="{FF2B5EF4-FFF2-40B4-BE49-F238E27FC236}">
              <a16:creationId xmlns:a16="http://schemas.microsoft.com/office/drawing/2014/main" id="{6CB9B24E-7C4D-4E40-BB76-5B5B925099DC}"/>
            </a:ext>
          </a:extLst>
        </xdr:cNvPr>
        <xdr:cNvSpPr txBox="1">
          <a:spLocks noChangeArrowheads="1"/>
        </xdr:cNvSpPr>
      </xdr:nvSpPr>
      <xdr:spPr bwMode="auto">
        <a:xfrm>
          <a:off x="9997440" y="24140160"/>
          <a:ext cx="76200" cy="2359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130</xdr:row>
      <xdr:rowOff>0</xdr:rowOff>
    </xdr:from>
    <xdr:ext cx="76200" cy="196215"/>
    <xdr:sp macro="" textlink="">
      <xdr:nvSpPr>
        <xdr:cNvPr id="33" name="Text Box 25">
          <a:extLst>
            <a:ext uri="{FF2B5EF4-FFF2-40B4-BE49-F238E27FC236}">
              <a16:creationId xmlns:a16="http://schemas.microsoft.com/office/drawing/2014/main" id="{82F275D9-0C84-401A-82A5-FFF523F47C64}"/>
            </a:ext>
          </a:extLst>
        </xdr:cNvPr>
        <xdr:cNvSpPr txBox="1">
          <a:spLocks noChangeArrowheads="1"/>
        </xdr:cNvSpPr>
      </xdr:nvSpPr>
      <xdr:spPr bwMode="auto">
        <a:xfrm>
          <a:off x="9997440" y="241401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130</xdr:row>
      <xdr:rowOff>0</xdr:rowOff>
    </xdr:from>
    <xdr:ext cx="76200" cy="196215"/>
    <xdr:sp macro="" textlink="">
      <xdr:nvSpPr>
        <xdr:cNvPr id="34" name="Text Box 26">
          <a:extLst>
            <a:ext uri="{FF2B5EF4-FFF2-40B4-BE49-F238E27FC236}">
              <a16:creationId xmlns:a16="http://schemas.microsoft.com/office/drawing/2014/main" id="{9C17B55A-68C9-4BE0-AD87-5C8EC50DBF1A}"/>
            </a:ext>
          </a:extLst>
        </xdr:cNvPr>
        <xdr:cNvSpPr txBox="1">
          <a:spLocks noChangeArrowheads="1"/>
        </xdr:cNvSpPr>
      </xdr:nvSpPr>
      <xdr:spPr bwMode="auto">
        <a:xfrm>
          <a:off x="9997440" y="241401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130</xdr:row>
      <xdr:rowOff>0</xdr:rowOff>
    </xdr:from>
    <xdr:ext cx="76200" cy="196215"/>
    <xdr:sp macro="" textlink="">
      <xdr:nvSpPr>
        <xdr:cNvPr id="35" name="Text Box 27">
          <a:extLst>
            <a:ext uri="{FF2B5EF4-FFF2-40B4-BE49-F238E27FC236}">
              <a16:creationId xmlns:a16="http://schemas.microsoft.com/office/drawing/2014/main" id="{D7E849F9-5089-4917-8CAD-AD341488E5C6}"/>
            </a:ext>
          </a:extLst>
        </xdr:cNvPr>
        <xdr:cNvSpPr txBox="1">
          <a:spLocks noChangeArrowheads="1"/>
        </xdr:cNvSpPr>
      </xdr:nvSpPr>
      <xdr:spPr bwMode="auto">
        <a:xfrm>
          <a:off x="9997440" y="241401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130</xdr:row>
      <xdr:rowOff>0</xdr:rowOff>
    </xdr:from>
    <xdr:ext cx="76200" cy="196215"/>
    <xdr:sp macro="" textlink="">
      <xdr:nvSpPr>
        <xdr:cNvPr id="36" name="Text Box 28">
          <a:extLst>
            <a:ext uri="{FF2B5EF4-FFF2-40B4-BE49-F238E27FC236}">
              <a16:creationId xmlns:a16="http://schemas.microsoft.com/office/drawing/2014/main" id="{78A5D9C1-E21F-463C-A04E-1B068EE09522}"/>
            </a:ext>
          </a:extLst>
        </xdr:cNvPr>
        <xdr:cNvSpPr txBox="1">
          <a:spLocks noChangeArrowheads="1"/>
        </xdr:cNvSpPr>
      </xdr:nvSpPr>
      <xdr:spPr bwMode="auto">
        <a:xfrm>
          <a:off x="9997440" y="241401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130</xdr:row>
      <xdr:rowOff>0</xdr:rowOff>
    </xdr:from>
    <xdr:ext cx="76200" cy="196215"/>
    <xdr:sp macro="" textlink="">
      <xdr:nvSpPr>
        <xdr:cNvPr id="37" name="Text Box 25">
          <a:extLst>
            <a:ext uri="{FF2B5EF4-FFF2-40B4-BE49-F238E27FC236}">
              <a16:creationId xmlns:a16="http://schemas.microsoft.com/office/drawing/2014/main" id="{D280B9CB-D42E-4D66-9279-A5BDE6450E56}"/>
            </a:ext>
          </a:extLst>
        </xdr:cNvPr>
        <xdr:cNvSpPr txBox="1">
          <a:spLocks noChangeArrowheads="1"/>
        </xdr:cNvSpPr>
      </xdr:nvSpPr>
      <xdr:spPr bwMode="auto">
        <a:xfrm>
          <a:off x="9997440" y="241401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130</xdr:row>
      <xdr:rowOff>0</xdr:rowOff>
    </xdr:from>
    <xdr:ext cx="76200" cy="196215"/>
    <xdr:sp macro="" textlink="">
      <xdr:nvSpPr>
        <xdr:cNvPr id="38" name="Text Box 26">
          <a:extLst>
            <a:ext uri="{FF2B5EF4-FFF2-40B4-BE49-F238E27FC236}">
              <a16:creationId xmlns:a16="http://schemas.microsoft.com/office/drawing/2014/main" id="{1AF42E66-0497-460E-AC3F-9D25ADB84D15}"/>
            </a:ext>
          </a:extLst>
        </xdr:cNvPr>
        <xdr:cNvSpPr txBox="1">
          <a:spLocks noChangeArrowheads="1"/>
        </xdr:cNvSpPr>
      </xdr:nvSpPr>
      <xdr:spPr bwMode="auto">
        <a:xfrm>
          <a:off x="9997440" y="241401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130</xdr:row>
      <xdr:rowOff>0</xdr:rowOff>
    </xdr:from>
    <xdr:ext cx="76200" cy="196215"/>
    <xdr:sp macro="" textlink="">
      <xdr:nvSpPr>
        <xdr:cNvPr id="39" name="Text Box 27">
          <a:extLst>
            <a:ext uri="{FF2B5EF4-FFF2-40B4-BE49-F238E27FC236}">
              <a16:creationId xmlns:a16="http://schemas.microsoft.com/office/drawing/2014/main" id="{81CD5B20-1E26-44C1-8B81-C52DA7819266}"/>
            </a:ext>
          </a:extLst>
        </xdr:cNvPr>
        <xdr:cNvSpPr txBox="1">
          <a:spLocks noChangeArrowheads="1"/>
        </xdr:cNvSpPr>
      </xdr:nvSpPr>
      <xdr:spPr bwMode="auto">
        <a:xfrm>
          <a:off x="9997440" y="241401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128</xdr:row>
      <xdr:rowOff>175260</xdr:rowOff>
    </xdr:from>
    <xdr:ext cx="76200" cy="196215"/>
    <xdr:sp macro="" textlink="">
      <xdr:nvSpPr>
        <xdr:cNvPr id="40" name="Text Box 28">
          <a:extLst>
            <a:ext uri="{FF2B5EF4-FFF2-40B4-BE49-F238E27FC236}">
              <a16:creationId xmlns:a16="http://schemas.microsoft.com/office/drawing/2014/main" id="{AD060AD9-3F9A-4301-8315-B967BBB77813}"/>
            </a:ext>
          </a:extLst>
        </xdr:cNvPr>
        <xdr:cNvSpPr txBox="1">
          <a:spLocks noChangeArrowheads="1"/>
        </xdr:cNvSpPr>
      </xdr:nvSpPr>
      <xdr:spPr bwMode="auto">
        <a:xfrm>
          <a:off x="9997440" y="239496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126</xdr:row>
      <xdr:rowOff>0</xdr:rowOff>
    </xdr:from>
    <xdr:ext cx="76200" cy="240030"/>
    <xdr:sp macro="" textlink="">
      <xdr:nvSpPr>
        <xdr:cNvPr id="41" name="Text Box 25">
          <a:extLst>
            <a:ext uri="{FF2B5EF4-FFF2-40B4-BE49-F238E27FC236}">
              <a16:creationId xmlns:a16="http://schemas.microsoft.com/office/drawing/2014/main" id="{19D5B89A-99A7-4753-8AB7-E70F28BDF126}"/>
            </a:ext>
          </a:extLst>
        </xdr:cNvPr>
        <xdr:cNvSpPr txBox="1">
          <a:spLocks noChangeArrowheads="1"/>
        </xdr:cNvSpPr>
      </xdr:nvSpPr>
      <xdr:spPr bwMode="auto">
        <a:xfrm>
          <a:off x="9997440" y="23408640"/>
          <a:ext cx="76200" cy="2400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126</xdr:row>
      <xdr:rowOff>0</xdr:rowOff>
    </xdr:from>
    <xdr:ext cx="76200" cy="240030"/>
    <xdr:sp macro="" textlink="">
      <xdr:nvSpPr>
        <xdr:cNvPr id="42" name="Text Box 26">
          <a:extLst>
            <a:ext uri="{FF2B5EF4-FFF2-40B4-BE49-F238E27FC236}">
              <a16:creationId xmlns:a16="http://schemas.microsoft.com/office/drawing/2014/main" id="{F3CDACFA-943B-4D00-8B57-3B41D2A701B1}"/>
            </a:ext>
          </a:extLst>
        </xdr:cNvPr>
        <xdr:cNvSpPr txBox="1">
          <a:spLocks noChangeArrowheads="1"/>
        </xdr:cNvSpPr>
      </xdr:nvSpPr>
      <xdr:spPr bwMode="auto">
        <a:xfrm>
          <a:off x="9997440" y="23408640"/>
          <a:ext cx="76200" cy="2400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126</xdr:row>
      <xdr:rowOff>0</xdr:rowOff>
    </xdr:from>
    <xdr:ext cx="76200" cy="240030"/>
    <xdr:sp macro="" textlink="">
      <xdr:nvSpPr>
        <xdr:cNvPr id="43" name="Text Box 27">
          <a:extLst>
            <a:ext uri="{FF2B5EF4-FFF2-40B4-BE49-F238E27FC236}">
              <a16:creationId xmlns:a16="http://schemas.microsoft.com/office/drawing/2014/main" id="{A554ABB2-2E48-49D1-87A5-4C1997F2AF34}"/>
            </a:ext>
          </a:extLst>
        </xdr:cNvPr>
        <xdr:cNvSpPr txBox="1">
          <a:spLocks noChangeArrowheads="1"/>
        </xdr:cNvSpPr>
      </xdr:nvSpPr>
      <xdr:spPr bwMode="auto">
        <a:xfrm>
          <a:off x="9997440" y="23408640"/>
          <a:ext cx="76200" cy="2400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126</xdr:row>
      <xdr:rowOff>0</xdr:rowOff>
    </xdr:from>
    <xdr:ext cx="76200" cy="240030"/>
    <xdr:sp macro="" textlink="">
      <xdr:nvSpPr>
        <xdr:cNvPr id="44" name="Text Box 28">
          <a:extLst>
            <a:ext uri="{FF2B5EF4-FFF2-40B4-BE49-F238E27FC236}">
              <a16:creationId xmlns:a16="http://schemas.microsoft.com/office/drawing/2014/main" id="{B2110CC9-7379-4771-B8B2-ABC432E37A27}"/>
            </a:ext>
          </a:extLst>
        </xdr:cNvPr>
        <xdr:cNvSpPr txBox="1">
          <a:spLocks noChangeArrowheads="1"/>
        </xdr:cNvSpPr>
      </xdr:nvSpPr>
      <xdr:spPr bwMode="auto">
        <a:xfrm>
          <a:off x="9997440" y="23408640"/>
          <a:ext cx="76200" cy="2400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126</xdr:row>
      <xdr:rowOff>0</xdr:rowOff>
    </xdr:from>
    <xdr:ext cx="76200" cy="236220"/>
    <xdr:sp macro="" textlink="">
      <xdr:nvSpPr>
        <xdr:cNvPr id="45" name="Text Box 25">
          <a:extLst>
            <a:ext uri="{FF2B5EF4-FFF2-40B4-BE49-F238E27FC236}">
              <a16:creationId xmlns:a16="http://schemas.microsoft.com/office/drawing/2014/main" id="{6E19A0F2-A287-483F-AE9E-E5F8E4A3D518}"/>
            </a:ext>
          </a:extLst>
        </xdr:cNvPr>
        <xdr:cNvSpPr txBox="1">
          <a:spLocks noChangeArrowheads="1"/>
        </xdr:cNvSpPr>
      </xdr:nvSpPr>
      <xdr:spPr bwMode="auto">
        <a:xfrm>
          <a:off x="9997440" y="23408640"/>
          <a:ext cx="76200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126</xdr:row>
      <xdr:rowOff>0</xdr:rowOff>
    </xdr:from>
    <xdr:ext cx="76200" cy="236220"/>
    <xdr:sp macro="" textlink="">
      <xdr:nvSpPr>
        <xdr:cNvPr id="46" name="Text Box 26">
          <a:extLst>
            <a:ext uri="{FF2B5EF4-FFF2-40B4-BE49-F238E27FC236}">
              <a16:creationId xmlns:a16="http://schemas.microsoft.com/office/drawing/2014/main" id="{3B0D4897-FBB7-488F-BEC2-EBB8BC659623}"/>
            </a:ext>
          </a:extLst>
        </xdr:cNvPr>
        <xdr:cNvSpPr txBox="1">
          <a:spLocks noChangeArrowheads="1"/>
        </xdr:cNvSpPr>
      </xdr:nvSpPr>
      <xdr:spPr bwMode="auto">
        <a:xfrm>
          <a:off x="9997440" y="23408640"/>
          <a:ext cx="76200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126</xdr:row>
      <xdr:rowOff>0</xdr:rowOff>
    </xdr:from>
    <xdr:ext cx="76200" cy="236220"/>
    <xdr:sp macro="" textlink="">
      <xdr:nvSpPr>
        <xdr:cNvPr id="47" name="Text Box 27">
          <a:extLst>
            <a:ext uri="{FF2B5EF4-FFF2-40B4-BE49-F238E27FC236}">
              <a16:creationId xmlns:a16="http://schemas.microsoft.com/office/drawing/2014/main" id="{30EC8BCD-374E-4A55-B405-C0121F8F21EB}"/>
            </a:ext>
          </a:extLst>
        </xdr:cNvPr>
        <xdr:cNvSpPr txBox="1">
          <a:spLocks noChangeArrowheads="1"/>
        </xdr:cNvSpPr>
      </xdr:nvSpPr>
      <xdr:spPr bwMode="auto">
        <a:xfrm>
          <a:off x="9997440" y="23408640"/>
          <a:ext cx="76200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126</xdr:row>
      <xdr:rowOff>0</xdr:rowOff>
    </xdr:from>
    <xdr:ext cx="76200" cy="236220"/>
    <xdr:sp macro="" textlink="">
      <xdr:nvSpPr>
        <xdr:cNvPr id="48" name="Text Box 28">
          <a:extLst>
            <a:ext uri="{FF2B5EF4-FFF2-40B4-BE49-F238E27FC236}">
              <a16:creationId xmlns:a16="http://schemas.microsoft.com/office/drawing/2014/main" id="{CE364579-1E12-4A14-8E71-423D19D67E17}"/>
            </a:ext>
          </a:extLst>
        </xdr:cNvPr>
        <xdr:cNvSpPr txBox="1">
          <a:spLocks noChangeArrowheads="1"/>
        </xdr:cNvSpPr>
      </xdr:nvSpPr>
      <xdr:spPr bwMode="auto">
        <a:xfrm>
          <a:off x="9997440" y="23408640"/>
          <a:ext cx="76200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133</xdr:row>
      <xdr:rowOff>0</xdr:rowOff>
    </xdr:from>
    <xdr:ext cx="76200" cy="247426"/>
    <xdr:sp macro="" textlink="">
      <xdr:nvSpPr>
        <xdr:cNvPr id="49" name="Text Box 25">
          <a:extLst>
            <a:ext uri="{FF2B5EF4-FFF2-40B4-BE49-F238E27FC236}">
              <a16:creationId xmlns:a16="http://schemas.microsoft.com/office/drawing/2014/main" id="{B9ED59B9-1CCA-4E8D-8B55-9751E3D41099}"/>
            </a:ext>
          </a:extLst>
        </xdr:cNvPr>
        <xdr:cNvSpPr txBox="1">
          <a:spLocks noChangeArrowheads="1"/>
        </xdr:cNvSpPr>
      </xdr:nvSpPr>
      <xdr:spPr bwMode="auto">
        <a:xfrm>
          <a:off x="9372600" y="24688800"/>
          <a:ext cx="76200" cy="247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133</xdr:row>
      <xdr:rowOff>0</xdr:rowOff>
    </xdr:from>
    <xdr:ext cx="76200" cy="247426"/>
    <xdr:sp macro="" textlink="">
      <xdr:nvSpPr>
        <xdr:cNvPr id="50" name="Text Box 26">
          <a:extLst>
            <a:ext uri="{FF2B5EF4-FFF2-40B4-BE49-F238E27FC236}">
              <a16:creationId xmlns:a16="http://schemas.microsoft.com/office/drawing/2014/main" id="{EEC9162C-E49E-4CED-8A63-FCF78DC32D5C}"/>
            </a:ext>
          </a:extLst>
        </xdr:cNvPr>
        <xdr:cNvSpPr txBox="1">
          <a:spLocks noChangeArrowheads="1"/>
        </xdr:cNvSpPr>
      </xdr:nvSpPr>
      <xdr:spPr bwMode="auto">
        <a:xfrm>
          <a:off x="9372600" y="24688800"/>
          <a:ext cx="76200" cy="247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133</xdr:row>
      <xdr:rowOff>0</xdr:rowOff>
    </xdr:from>
    <xdr:ext cx="76200" cy="247426"/>
    <xdr:sp macro="" textlink="">
      <xdr:nvSpPr>
        <xdr:cNvPr id="51" name="Text Box 27">
          <a:extLst>
            <a:ext uri="{FF2B5EF4-FFF2-40B4-BE49-F238E27FC236}">
              <a16:creationId xmlns:a16="http://schemas.microsoft.com/office/drawing/2014/main" id="{7E1AA365-4025-4BDB-9F58-637CDF77E193}"/>
            </a:ext>
          </a:extLst>
        </xdr:cNvPr>
        <xdr:cNvSpPr txBox="1">
          <a:spLocks noChangeArrowheads="1"/>
        </xdr:cNvSpPr>
      </xdr:nvSpPr>
      <xdr:spPr bwMode="auto">
        <a:xfrm>
          <a:off x="9372600" y="24688800"/>
          <a:ext cx="76200" cy="247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133</xdr:row>
      <xdr:rowOff>0</xdr:rowOff>
    </xdr:from>
    <xdr:ext cx="76200" cy="247426"/>
    <xdr:sp macro="" textlink="">
      <xdr:nvSpPr>
        <xdr:cNvPr id="52" name="Text Box 28">
          <a:extLst>
            <a:ext uri="{FF2B5EF4-FFF2-40B4-BE49-F238E27FC236}">
              <a16:creationId xmlns:a16="http://schemas.microsoft.com/office/drawing/2014/main" id="{8A3B9C45-6C29-497A-82FB-ACD540A200B6}"/>
            </a:ext>
          </a:extLst>
        </xdr:cNvPr>
        <xdr:cNvSpPr txBox="1">
          <a:spLocks noChangeArrowheads="1"/>
        </xdr:cNvSpPr>
      </xdr:nvSpPr>
      <xdr:spPr bwMode="auto">
        <a:xfrm>
          <a:off x="9372600" y="24688800"/>
          <a:ext cx="76200" cy="247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133</xdr:row>
      <xdr:rowOff>0</xdr:rowOff>
    </xdr:from>
    <xdr:ext cx="76200" cy="236220"/>
    <xdr:sp macro="" textlink="">
      <xdr:nvSpPr>
        <xdr:cNvPr id="53" name="Text Box 25">
          <a:extLst>
            <a:ext uri="{FF2B5EF4-FFF2-40B4-BE49-F238E27FC236}">
              <a16:creationId xmlns:a16="http://schemas.microsoft.com/office/drawing/2014/main" id="{57C91DBE-8815-46D5-B77E-3F30F17E2B04}"/>
            </a:ext>
          </a:extLst>
        </xdr:cNvPr>
        <xdr:cNvSpPr txBox="1">
          <a:spLocks noChangeArrowheads="1"/>
        </xdr:cNvSpPr>
      </xdr:nvSpPr>
      <xdr:spPr bwMode="auto">
        <a:xfrm>
          <a:off x="9372600" y="24688800"/>
          <a:ext cx="76200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133</xdr:row>
      <xdr:rowOff>0</xdr:rowOff>
    </xdr:from>
    <xdr:ext cx="76200" cy="236220"/>
    <xdr:sp macro="" textlink="">
      <xdr:nvSpPr>
        <xdr:cNvPr id="54" name="Text Box 26">
          <a:extLst>
            <a:ext uri="{FF2B5EF4-FFF2-40B4-BE49-F238E27FC236}">
              <a16:creationId xmlns:a16="http://schemas.microsoft.com/office/drawing/2014/main" id="{76F20B75-31F3-4210-9591-92CCF0D85BB9}"/>
            </a:ext>
          </a:extLst>
        </xdr:cNvPr>
        <xdr:cNvSpPr txBox="1">
          <a:spLocks noChangeArrowheads="1"/>
        </xdr:cNvSpPr>
      </xdr:nvSpPr>
      <xdr:spPr bwMode="auto">
        <a:xfrm>
          <a:off x="9372600" y="24688800"/>
          <a:ext cx="76200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133</xdr:row>
      <xdr:rowOff>0</xdr:rowOff>
    </xdr:from>
    <xdr:ext cx="76200" cy="236220"/>
    <xdr:sp macro="" textlink="">
      <xdr:nvSpPr>
        <xdr:cNvPr id="55" name="Text Box 27">
          <a:extLst>
            <a:ext uri="{FF2B5EF4-FFF2-40B4-BE49-F238E27FC236}">
              <a16:creationId xmlns:a16="http://schemas.microsoft.com/office/drawing/2014/main" id="{85CF1E0B-16D1-4ABF-90B3-190F67B13288}"/>
            </a:ext>
          </a:extLst>
        </xdr:cNvPr>
        <xdr:cNvSpPr txBox="1">
          <a:spLocks noChangeArrowheads="1"/>
        </xdr:cNvSpPr>
      </xdr:nvSpPr>
      <xdr:spPr bwMode="auto">
        <a:xfrm>
          <a:off x="9372600" y="24688800"/>
          <a:ext cx="76200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133</xdr:row>
      <xdr:rowOff>0</xdr:rowOff>
    </xdr:from>
    <xdr:ext cx="76200" cy="236220"/>
    <xdr:sp macro="" textlink="">
      <xdr:nvSpPr>
        <xdr:cNvPr id="56" name="Text Box 28">
          <a:extLst>
            <a:ext uri="{FF2B5EF4-FFF2-40B4-BE49-F238E27FC236}">
              <a16:creationId xmlns:a16="http://schemas.microsoft.com/office/drawing/2014/main" id="{1105AE69-9111-42B3-9F21-ECFFA7FD19B7}"/>
            </a:ext>
          </a:extLst>
        </xdr:cNvPr>
        <xdr:cNvSpPr txBox="1">
          <a:spLocks noChangeArrowheads="1"/>
        </xdr:cNvSpPr>
      </xdr:nvSpPr>
      <xdr:spPr bwMode="auto">
        <a:xfrm>
          <a:off x="9372600" y="24688800"/>
          <a:ext cx="76200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8</xdr:row>
      <xdr:rowOff>0</xdr:rowOff>
    </xdr:from>
    <xdr:ext cx="76200" cy="199801"/>
    <xdr:sp macro="" textlink="">
      <xdr:nvSpPr>
        <xdr:cNvPr id="57" name="Text Box 25">
          <a:extLst>
            <a:ext uri="{FF2B5EF4-FFF2-40B4-BE49-F238E27FC236}">
              <a16:creationId xmlns:a16="http://schemas.microsoft.com/office/drawing/2014/main" id="{C0B69972-A221-421D-A631-F3D1CEA82F45}"/>
            </a:ext>
          </a:extLst>
        </xdr:cNvPr>
        <xdr:cNvSpPr txBox="1">
          <a:spLocks noChangeArrowheads="1"/>
        </xdr:cNvSpPr>
      </xdr:nvSpPr>
      <xdr:spPr bwMode="auto">
        <a:xfrm>
          <a:off x="9997440" y="914400"/>
          <a:ext cx="76200" cy="1998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8</xdr:row>
      <xdr:rowOff>0</xdr:rowOff>
    </xdr:from>
    <xdr:ext cx="76200" cy="199801"/>
    <xdr:sp macro="" textlink="">
      <xdr:nvSpPr>
        <xdr:cNvPr id="58" name="Text Box 26">
          <a:extLst>
            <a:ext uri="{FF2B5EF4-FFF2-40B4-BE49-F238E27FC236}">
              <a16:creationId xmlns:a16="http://schemas.microsoft.com/office/drawing/2014/main" id="{0BCA2E13-E725-40C7-A2EA-9E37532E9BFC}"/>
            </a:ext>
          </a:extLst>
        </xdr:cNvPr>
        <xdr:cNvSpPr txBox="1">
          <a:spLocks noChangeArrowheads="1"/>
        </xdr:cNvSpPr>
      </xdr:nvSpPr>
      <xdr:spPr bwMode="auto">
        <a:xfrm>
          <a:off x="9997440" y="914400"/>
          <a:ext cx="76200" cy="1998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8</xdr:row>
      <xdr:rowOff>0</xdr:rowOff>
    </xdr:from>
    <xdr:ext cx="76200" cy="199801"/>
    <xdr:sp macro="" textlink="">
      <xdr:nvSpPr>
        <xdr:cNvPr id="59" name="Text Box 27">
          <a:extLst>
            <a:ext uri="{FF2B5EF4-FFF2-40B4-BE49-F238E27FC236}">
              <a16:creationId xmlns:a16="http://schemas.microsoft.com/office/drawing/2014/main" id="{EFA572B8-30CA-4EE9-B53F-66D593A67D74}"/>
            </a:ext>
          </a:extLst>
        </xdr:cNvPr>
        <xdr:cNvSpPr txBox="1">
          <a:spLocks noChangeArrowheads="1"/>
        </xdr:cNvSpPr>
      </xdr:nvSpPr>
      <xdr:spPr bwMode="auto">
        <a:xfrm>
          <a:off x="9997440" y="914400"/>
          <a:ext cx="76200" cy="1998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8</xdr:row>
      <xdr:rowOff>0</xdr:rowOff>
    </xdr:from>
    <xdr:ext cx="76200" cy="199801"/>
    <xdr:sp macro="" textlink="">
      <xdr:nvSpPr>
        <xdr:cNvPr id="60" name="Text Box 28">
          <a:extLst>
            <a:ext uri="{FF2B5EF4-FFF2-40B4-BE49-F238E27FC236}">
              <a16:creationId xmlns:a16="http://schemas.microsoft.com/office/drawing/2014/main" id="{77B4E4B1-22C8-4E9E-BC5E-702B3A436C85}"/>
            </a:ext>
          </a:extLst>
        </xdr:cNvPr>
        <xdr:cNvSpPr txBox="1">
          <a:spLocks noChangeArrowheads="1"/>
        </xdr:cNvSpPr>
      </xdr:nvSpPr>
      <xdr:spPr bwMode="auto">
        <a:xfrm>
          <a:off x="9997440" y="914400"/>
          <a:ext cx="76200" cy="1998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8</xdr:row>
      <xdr:rowOff>0</xdr:rowOff>
    </xdr:from>
    <xdr:ext cx="76200" cy="188595"/>
    <xdr:sp macro="" textlink="">
      <xdr:nvSpPr>
        <xdr:cNvPr id="61" name="Text Box 25">
          <a:extLst>
            <a:ext uri="{FF2B5EF4-FFF2-40B4-BE49-F238E27FC236}">
              <a16:creationId xmlns:a16="http://schemas.microsoft.com/office/drawing/2014/main" id="{8E20A1C4-4D55-413B-A977-0FACE521FBE4}"/>
            </a:ext>
          </a:extLst>
        </xdr:cNvPr>
        <xdr:cNvSpPr txBox="1">
          <a:spLocks noChangeArrowheads="1"/>
        </xdr:cNvSpPr>
      </xdr:nvSpPr>
      <xdr:spPr bwMode="auto">
        <a:xfrm>
          <a:off x="9997440" y="914400"/>
          <a:ext cx="76200" cy="1885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8</xdr:row>
      <xdr:rowOff>0</xdr:rowOff>
    </xdr:from>
    <xdr:ext cx="76200" cy="188595"/>
    <xdr:sp macro="" textlink="">
      <xdr:nvSpPr>
        <xdr:cNvPr id="62" name="Text Box 26">
          <a:extLst>
            <a:ext uri="{FF2B5EF4-FFF2-40B4-BE49-F238E27FC236}">
              <a16:creationId xmlns:a16="http://schemas.microsoft.com/office/drawing/2014/main" id="{4AEB9670-9C60-4332-9C0E-DAC3E85A544E}"/>
            </a:ext>
          </a:extLst>
        </xdr:cNvPr>
        <xdr:cNvSpPr txBox="1">
          <a:spLocks noChangeArrowheads="1"/>
        </xdr:cNvSpPr>
      </xdr:nvSpPr>
      <xdr:spPr bwMode="auto">
        <a:xfrm>
          <a:off x="9997440" y="914400"/>
          <a:ext cx="76200" cy="1885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8</xdr:row>
      <xdr:rowOff>0</xdr:rowOff>
    </xdr:from>
    <xdr:ext cx="76200" cy="188595"/>
    <xdr:sp macro="" textlink="">
      <xdr:nvSpPr>
        <xdr:cNvPr id="63" name="Text Box 27">
          <a:extLst>
            <a:ext uri="{FF2B5EF4-FFF2-40B4-BE49-F238E27FC236}">
              <a16:creationId xmlns:a16="http://schemas.microsoft.com/office/drawing/2014/main" id="{662BF5CA-2DB2-41E7-8102-CC7B0C2461F2}"/>
            </a:ext>
          </a:extLst>
        </xdr:cNvPr>
        <xdr:cNvSpPr txBox="1">
          <a:spLocks noChangeArrowheads="1"/>
        </xdr:cNvSpPr>
      </xdr:nvSpPr>
      <xdr:spPr bwMode="auto">
        <a:xfrm>
          <a:off x="9997440" y="914400"/>
          <a:ext cx="76200" cy="1885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8</xdr:row>
      <xdr:rowOff>0</xdr:rowOff>
    </xdr:from>
    <xdr:ext cx="76200" cy="188595"/>
    <xdr:sp macro="" textlink="">
      <xdr:nvSpPr>
        <xdr:cNvPr id="64" name="Text Box 28">
          <a:extLst>
            <a:ext uri="{FF2B5EF4-FFF2-40B4-BE49-F238E27FC236}">
              <a16:creationId xmlns:a16="http://schemas.microsoft.com/office/drawing/2014/main" id="{A70B6924-93BB-4CA1-9EC6-17804B5329D3}"/>
            </a:ext>
          </a:extLst>
        </xdr:cNvPr>
        <xdr:cNvSpPr txBox="1">
          <a:spLocks noChangeArrowheads="1"/>
        </xdr:cNvSpPr>
      </xdr:nvSpPr>
      <xdr:spPr bwMode="auto">
        <a:xfrm>
          <a:off x="9997440" y="914400"/>
          <a:ext cx="76200" cy="1885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133</xdr:row>
      <xdr:rowOff>0</xdr:rowOff>
    </xdr:from>
    <xdr:ext cx="76200" cy="183552"/>
    <xdr:sp macro="" textlink="">
      <xdr:nvSpPr>
        <xdr:cNvPr id="65" name="Text Box 25">
          <a:extLst>
            <a:ext uri="{FF2B5EF4-FFF2-40B4-BE49-F238E27FC236}">
              <a16:creationId xmlns:a16="http://schemas.microsoft.com/office/drawing/2014/main" id="{0C623098-CE19-4D11-A7F6-FE1F02276C75}"/>
            </a:ext>
          </a:extLst>
        </xdr:cNvPr>
        <xdr:cNvSpPr txBox="1">
          <a:spLocks noChangeArrowheads="1"/>
        </xdr:cNvSpPr>
      </xdr:nvSpPr>
      <xdr:spPr bwMode="auto">
        <a:xfrm>
          <a:off x="9997440" y="24688800"/>
          <a:ext cx="76200" cy="1835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133</xdr:row>
      <xdr:rowOff>0</xdr:rowOff>
    </xdr:from>
    <xdr:ext cx="76200" cy="183552"/>
    <xdr:sp macro="" textlink="">
      <xdr:nvSpPr>
        <xdr:cNvPr id="66" name="Text Box 26">
          <a:extLst>
            <a:ext uri="{FF2B5EF4-FFF2-40B4-BE49-F238E27FC236}">
              <a16:creationId xmlns:a16="http://schemas.microsoft.com/office/drawing/2014/main" id="{48CB18D1-8032-4ACB-B1D1-D144B01861FD}"/>
            </a:ext>
          </a:extLst>
        </xdr:cNvPr>
        <xdr:cNvSpPr txBox="1">
          <a:spLocks noChangeArrowheads="1"/>
        </xdr:cNvSpPr>
      </xdr:nvSpPr>
      <xdr:spPr bwMode="auto">
        <a:xfrm>
          <a:off x="9997440" y="24688800"/>
          <a:ext cx="76200" cy="1835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133</xdr:row>
      <xdr:rowOff>0</xdr:rowOff>
    </xdr:from>
    <xdr:ext cx="76200" cy="183552"/>
    <xdr:sp macro="" textlink="">
      <xdr:nvSpPr>
        <xdr:cNvPr id="67" name="Text Box 27">
          <a:extLst>
            <a:ext uri="{FF2B5EF4-FFF2-40B4-BE49-F238E27FC236}">
              <a16:creationId xmlns:a16="http://schemas.microsoft.com/office/drawing/2014/main" id="{DE2AC174-26D4-4E1B-B4DC-C8DFA2E9D9DE}"/>
            </a:ext>
          </a:extLst>
        </xdr:cNvPr>
        <xdr:cNvSpPr txBox="1">
          <a:spLocks noChangeArrowheads="1"/>
        </xdr:cNvSpPr>
      </xdr:nvSpPr>
      <xdr:spPr bwMode="auto">
        <a:xfrm>
          <a:off x="9997440" y="24688800"/>
          <a:ext cx="76200" cy="1835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133</xdr:row>
      <xdr:rowOff>0</xdr:rowOff>
    </xdr:from>
    <xdr:ext cx="76200" cy="183552"/>
    <xdr:sp macro="" textlink="">
      <xdr:nvSpPr>
        <xdr:cNvPr id="68" name="Text Box 28">
          <a:extLst>
            <a:ext uri="{FF2B5EF4-FFF2-40B4-BE49-F238E27FC236}">
              <a16:creationId xmlns:a16="http://schemas.microsoft.com/office/drawing/2014/main" id="{428FA164-891C-439C-A037-AA969A765F4A}"/>
            </a:ext>
          </a:extLst>
        </xdr:cNvPr>
        <xdr:cNvSpPr txBox="1">
          <a:spLocks noChangeArrowheads="1"/>
        </xdr:cNvSpPr>
      </xdr:nvSpPr>
      <xdr:spPr bwMode="auto">
        <a:xfrm>
          <a:off x="9997440" y="24688800"/>
          <a:ext cx="76200" cy="1835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133</xdr:row>
      <xdr:rowOff>0</xdr:rowOff>
    </xdr:from>
    <xdr:ext cx="76200" cy="188595"/>
    <xdr:sp macro="" textlink="">
      <xdr:nvSpPr>
        <xdr:cNvPr id="69" name="Text Box 25">
          <a:extLst>
            <a:ext uri="{FF2B5EF4-FFF2-40B4-BE49-F238E27FC236}">
              <a16:creationId xmlns:a16="http://schemas.microsoft.com/office/drawing/2014/main" id="{66AE8457-23A1-4535-8EB8-B5F1C832E72E}"/>
            </a:ext>
          </a:extLst>
        </xdr:cNvPr>
        <xdr:cNvSpPr txBox="1">
          <a:spLocks noChangeArrowheads="1"/>
        </xdr:cNvSpPr>
      </xdr:nvSpPr>
      <xdr:spPr bwMode="auto">
        <a:xfrm>
          <a:off x="9997440" y="24688800"/>
          <a:ext cx="76200" cy="1885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133</xdr:row>
      <xdr:rowOff>0</xdr:rowOff>
    </xdr:from>
    <xdr:ext cx="76200" cy="188595"/>
    <xdr:sp macro="" textlink="">
      <xdr:nvSpPr>
        <xdr:cNvPr id="70" name="Text Box 26">
          <a:extLst>
            <a:ext uri="{FF2B5EF4-FFF2-40B4-BE49-F238E27FC236}">
              <a16:creationId xmlns:a16="http://schemas.microsoft.com/office/drawing/2014/main" id="{E78D736E-E7C6-428E-A908-7C2183A7DFB2}"/>
            </a:ext>
          </a:extLst>
        </xdr:cNvPr>
        <xdr:cNvSpPr txBox="1">
          <a:spLocks noChangeArrowheads="1"/>
        </xdr:cNvSpPr>
      </xdr:nvSpPr>
      <xdr:spPr bwMode="auto">
        <a:xfrm>
          <a:off x="9997440" y="24688800"/>
          <a:ext cx="76200" cy="1885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133</xdr:row>
      <xdr:rowOff>0</xdr:rowOff>
    </xdr:from>
    <xdr:ext cx="76200" cy="188595"/>
    <xdr:sp macro="" textlink="">
      <xdr:nvSpPr>
        <xdr:cNvPr id="71" name="Text Box 27">
          <a:extLst>
            <a:ext uri="{FF2B5EF4-FFF2-40B4-BE49-F238E27FC236}">
              <a16:creationId xmlns:a16="http://schemas.microsoft.com/office/drawing/2014/main" id="{1D6464D5-6CAF-4889-9A67-C2B212A4EB43}"/>
            </a:ext>
          </a:extLst>
        </xdr:cNvPr>
        <xdr:cNvSpPr txBox="1">
          <a:spLocks noChangeArrowheads="1"/>
        </xdr:cNvSpPr>
      </xdr:nvSpPr>
      <xdr:spPr bwMode="auto">
        <a:xfrm>
          <a:off x="9997440" y="24688800"/>
          <a:ext cx="76200" cy="1885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133</xdr:row>
      <xdr:rowOff>0</xdr:rowOff>
    </xdr:from>
    <xdr:ext cx="76200" cy="188595"/>
    <xdr:sp macro="" textlink="">
      <xdr:nvSpPr>
        <xdr:cNvPr id="72" name="Text Box 28">
          <a:extLst>
            <a:ext uri="{FF2B5EF4-FFF2-40B4-BE49-F238E27FC236}">
              <a16:creationId xmlns:a16="http://schemas.microsoft.com/office/drawing/2014/main" id="{EDE15614-2BE9-49E7-B2F0-58A47709B635}"/>
            </a:ext>
          </a:extLst>
        </xdr:cNvPr>
        <xdr:cNvSpPr txBox="1">
          <a:spLocks noChangeArrowheads="1"/>
        </xdr:cNvSpPr>
      </xdr:nvSpPr>
      <xdr:spPr bwMode="auto">
        <a:xfrm>
          <a:off x="9997440" y="24688800"/>
          <a:ext cx="76200" cy="1885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112</xdr:row>
      <xdr:rowOff>0</xdr:rowOff>
    </xdr:from>
    <xdr:ext cx="76200" cy="199801"/>
    <xdr:sp macro="" textlink="">
      <xdr:nvSpPr>
        <xdr:cNvPr id="73" name="Text Box 25">
          <a:extLst>
            <a:ext uri="{FF2B5EF4-FFF2-40B4-BE49-F238E27FC236}">
              <a16:creationId xmlns:a16="http://schemas.microsoft.com/office/drawing/2014/main" id="{24A1EA9B-1ACC-4F37-B144-9D88AE498A68}"/>
            </a:ext>
          </a:extLst>
        </xdr:cNvPr>
        <xdr:cNvSpPr txBox="1">
          <a:spLocks noChangeArrowheads="1"/>
        </xdr:cNvSpPr>
      </xdr:nvSpPr>
      <xdr:spPr bwMode="auto">
        <a:xfrm>
          <a:off x="9372600" y="20848320"/>
          <a:ext cx="76200" cy="1998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112</xdr:row>
      <xdr:rowOff>0</xdr:rowOff>
    </xdr:from>
    <xdr:ext cx="76200" cy="199801"/>
    <xdr:sp macro="" textlink="">
      <xdr:nvSpPr>
        <xdr:cNvPr id="74" name="Text Box 26">
          <a:extLst>
            <a:ext uri="{FF2B5EF4-FFF2-40B4-BE49-F238E27FC236}">
              <a16:creationId xmlns:a16="http://schemas.microsoft.com/office/drawing/2014/main" id="{280845E8-3FA9-43A9-A2DC-AF5F175ABF02}"/>
            </a:ext>
          </a:extLst>
        </xdr:cNvPr>
        <xdr:cNvSpPr txBox="1">
          <a:spLocks noChangeArrowheads="1"/>
        </xdr:cNvSpPr>
      </xdr:nvSpPr>
      <xdr:spPr bwMode="auto">
        <a:xfrm>
          <a:off x="9372600" y="20848320"/>
          <a:ext cx="76200" cy="1998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112</xdr:row>
      <xdr:rowOff>0</xdr:rowOff>
    </xdr:from>
    <xdr:ext cx="76200" cy="199801"/>
    <xdr:sp macro="" textlink="">
      <xdr:nvSpPr>
        <xdr:cNvPr id="75" name="Text Box 27">
          <a:extLst>
            <a:ext uri="{FF2B5EF4-FFF2-40B4-BE49-F238E27FC236}">
              <a16:creationId xmlns:a16="http://schemas.microsoft.com/office/drawing/2014/main" id="{0CD38C8B-6F8C-4800-8967-601CD226EB43}"/>
            </a:ext>
          </a:extLst>
        </xdr:cNvPr>
        <xdr:cNvSpPr txBox="1">
          <a:spLocks noChangeArrowheads="1"/>
        </xdr:cNvSpPr>
      </xdr:nvSpPr>
      <xdr:spPr bwMode="auto">
        <a:xfrm>
          <a:off x="9372600" y="20848320"/>
          <a:ext cx="76200" cy="1998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112</xdr:row>
      <xdr:rowOff>0</xdr:rowOff>
    </xdr:from>
    <xdr:ext cx="76200" cy="199801"/>
    <xdr:sp macro="" textlink="">
      <xdr:nvSpPr>
        <xdr:cNvPr id="76" name="Text Box 28">
          <a:extLst>
            <a:ext uri="{FF2B5EF4-FFF2-40B4-BE49-F238E27FC236}">
              <a16:creationId xmlns:a16="http://schemas.microsoft.com/office/drawing/2014/main" id="{AB4CDF57-8E74-4074-ABA2-8E8A403B3D1E}"/>
            </a:ext>
          </a:extLst>
        </xdr:cNvPr>
        <xdr:cNvSpPr txBox="1">
          <a:spLocks noChangeArrowheads="1"/>
        </xdr:cNvSpPr>
      </xdr:nvSpPr>
      <xdr:spPr bwMode="auto">
        <a:xfrm>
          <a:off x="9372600" y="20848320"/>
          <a:ext cx="76200" cy="1998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112</xdr:row>
      <xdr:rowOff>0</xdr:rowOff>
    </xdr:from>
    <xdr:ext cx="76200" cy="188595"/>
    <xdr:sp macro="" textlink="">
      <xdr:nvSpPr>
        <xdr:cNvPr id="77" name="Text Box 25">
          <a:extLst>
            <a:ext uri="{FF2B5EF4-FFF2-40B4-BE49-F238E27FC236}">
              <a16:creationId xmlns:a16="http://schemas.microsoft.com/office/drawing/2014/main" id="{06C7F768-227B-4243-9B4D-A69FE937278E}"/>
            </a:ext>
          </a:extLst>
        </xdr:cNvPr>
        <xdr:cNvSpPr txBox="1">
          <a:spLocks noChangeArrowheads="1"/>
        </xdr:cNvSpPr>
      </xdr:nvSpPr>
      <xdr:spPr bwMode="auto">
        <a:xfrm>
          <a:off x="9372600" y="20848320"/>
          <a:ext cx="76200" cy="1885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112</xdr:row>
      <xdr:rowOff>0</xdr:rowOff>
    </xdr:from>
    <xdr:ext cx="76200" cy="188595"/>
    <xdr:sp macro="" textlink="">
      <xdr:nvSpPr>
        <xdr:cNvPr id="78" name="Text Box 26">
          <a:extLst>
            <a:ext uri="{FF2B5EF4-FFF2-40B4-BE49-F238E27FC236}">
              <a16:creationId xmlns:a16="http://schemas.microsoft.com/office/drawing/2014/main" id="{0653BE15-E413-430B-A4C8-9289FBC2DD3D}"/>
            </a:ext>
          </a:extLst>
        </xdr:cNvPr>
        <xdr:cNvSpPr txBox="1">
          <a:spLocks noChangeArrowheads="1"/>
        </xdr:cNvSpPr>
      </xdr:nvSpPr>
      <xdr:spPr bwMode="auto">
        <a:xfrm>
          <a:off x="9372600" y="20848320"/>
          <a:ext cx="76200" cy="1885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112</xdr:row>
      <xdr:rowOff>0</xdr:rowOff>
    </xdr:from>
    <xdr:ext cx="76200" cy="188595"/>
    <xdr:sp macro="" textlink="">
      <xdr:nvSpPr>
        <xdr:cNvPr id="79" name="Text Box 27">
          <a:extLst>
            <a:ext uri="{FF2B5EF4-FFF2-40B4-BE49-F238E27FC236}">
              <a16:creationId xmlns:a16="http://schemas.microsoft.com/office/drawing/2014/main" id="{44823252-D775-4C29-B3AB-BF0703E7B95A}"/>
            </a:ext>
          </a:extLst>
        </xdr:cNvPr>
        <xdr:cNvSpPr txBox="1">
          <a:spLocks noChangeArrowheads="1"/>
        </xdr:cNvSpPr>
      </xdr:nvSpPr>
      <xdr:spPr bwMode="auto">
        <a:xfrm>
          <a:off x="9372600" y="20848320"/>
          <a:ext cx="76200" cy="1885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112</xdr:row>
      <xdr:rowOff>0</xdr:rowOff>
    </xdr:from>
    <xdr:ext cx="76200" cy="188595"/>
    <xdr:sp macro="" textlink="">
      <xdr:nvSpPr>
        <xdr:cNvPr id="80" name="Text Box 28">
          <a:extLst>
            <a:ext uri="{FF2B5EF4-FFF2-40B4-BE49-F238E27FC236}">
              <a16:creationId xmlns:a16="http://schemas.microsoft.com/office/drawing/2014/main" id="{D4FB175E-4650-4A14-B4F9-20B53A157279}"/>
            </a:ext>
          </a:extLst>
        </xdr:cNvPr>
        <xdr:cNvSpPr txBox="1">
          <a:spLocks noChangeArrowheads="1"/>
        </xdr:cNvSpPr>
      </xdr:nvSpPr>
      <xdr:spPr bwMode="auto">
        <a:xfrm>
          <a:off x="9372600" y="20848320"/>
          <a:ext cx="76200" cy="1885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70</xdr:row>
      <xdr:rowOff>0</xdr:rowOff>
    </xdr:from>
    <xdr:ext cx="76200" cy="183552"/>
    <xdr:sp macro="" textlink="">
      <xdr:nvSpPr>
        <xdr:cNvPr id="81" name="Text Box 25">
          <a:extLst>
            <a:ext uri="{FF2B5EF4-FFF2-40B4-BE49-F238E27FC236}">
              <a16:creationId xmlns:a16="http://schemas.microsoft.com/office/drawing/2014/main" id="{9A5717D0-489E-4B0F-92D0-456C71AAB7B1}"/>
            </a:ext>
          </a:extLst>
        </xdr:cNvPr>
        <xdr:cNvSpPr txBox="1">
          <a:spLocks noChangeArrowheads="1"/>
        </xdr:cNvSpPr>
      </xdr:nvSpPr>
      <xdr:spPr bwMode="auto">
        <a:xfrm>
          <a:off x="9997440" y="13167360"/>
          <a:ext cx="76200" cy="1835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70</xdr:row>
      <xdr:rowOff>0</xdr:rowOff>
    </xdr:from>
    <xdr:ext cx="76200" cy="183552"/>
    <xdr:sp macro="" textlink="">
      <xdr:nvSpPr>
        <xdr:cNvPr id="82" name="Text Box 26">
          <a:extLst>
            <a:ext uri="{FF2B5EF4-FFF2-40B4-BE49-F238E27FC236}">
              <a16:creationId xmlns:a16="http://schemas.microsoft.com/office/drawing/2014/main" id="{65E42FA4-CCBD-46C2-9E02-3E64163668D9}"/>
            </a:ext>
          </a:extLst>
        </xdr:cNvPr>
        <xdr:cNvSpPr txBox="1">
          <a:spLocks noChangeArrowheads="1"/>
        </xdr:cNvSpPr>
      </xdr:nvSpPr>
      <xdr:spPr bwMode="auto">
        <a:xfrm>
          <a:off x="9997440" y="13167360"/>
          <a:ext cx="76200" cy="1835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70</xdr:row>
      <xdr:rowOff>0</xdr:rowOff>
    </xdr:from>
    <xdr:ext cx="76200" cy="183552"/>
    <xdr:sp macro="" textlink="">
      <xdr:nvSpPr>
        <xdr:cNvPr id="83" name="Text Box 27">
          <a:extLst>
            <a:ext uri="{FF2B5EF4-FFF2-40B4-BE49-F238E27FC236}">
              <a16:creationId xmlns:a16="http://schemas.microsoft.com/office/drawing/2014/main" id="{47FF3183-E122-46EC-BA98-171EB7F58946}"/>
            </a:ext>
          </a:extLst>
        </xdr:cNvPr>
        <xdr:cNvSpPr txBox="1">
          <a:spLocks noChangeArrowheads="1"/>
        </xdr:cNvSpPr>
      </xdr:nvSpPr>
      <xdr:spPr bwMode="auto">
        <a:xfrm>
          <a:off x="9997440" y="13167360"/>
          <a:ext cx="76200" cy="1835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70</xdr:row>
      <xdr:rowOff>0</xdr:rowOff>
    </xdr:from>
    <xdr:ext cx="76200" cy="183552"/>
    <xdr:sp macro="" textlink="">
      <xdr:nvSpPr>
        <xdr:cNvPr id="84" name="Text Box 28">
          <a:extLst>
            <a:ext uri="{FF2B5EF4-FFF2-40B4-BE49-F238E27FC236}">
              <a16:creationId xmlns:a16="http://schemas.microsoft.com/office/drawing/2014/main" id="{0B6B3C19-D863-4699-8C76-397EB3F2F74C}"/>
            </a:ext>
          </a:extLst>
        </xdr:cNvPr>
        <xdr:cNvSpPr txBox="1">
          <a:spLocks noChangeArrowheads="1"/>
        </xdr:cNvSpPr>
      </xdr:nvSpPr>
      <xdr:spPr bwMode="auto">
        <a:xfrm>
          <a:off x="9997440" y="13167360"/>
          <a:ext cx="76200" cy="1835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17</xdr:col>
      <xdr:colOff>0</xdr:colOff>
      <xdr:row>4</xdr:row>
      <xdr:rowOff>0</xdr:rowOff>
    </xdr:from>
    <xdr:ext cx="76200" cy="196215"/>
    <xdr:sp macro="" textlink="">
      <xdr:nvSpPr>
        <xdr:cNvPr id="2" name="Text Box 25">
          <a:extLst>
            <a:ext uri="{FF2B5EF4-FFF2-40B4-BE49-F238E27FC236}">
              <a16:creationId xmlns:a16="http://schemas.microsoft.com/office/drawing/2014/main" id="{CB675C0D-7CF5-49AD-B6C2-D1B8AC2EED1F}"/>
            </a:ext>
          </a:extLst>
        </xdr:cNvPr>
        <xdr:cNvSpPr txBox="1">
          <a:spLocks noChangeArrowheads="1"/>
        </xdr:cNvSpPr>
      </xdr:nvSpPr>
      <xdr:spPr bwMode="auto">
        <a:xfrm>
          <a:off x="10363200" y="18288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4</xdr:row>
      <xdr:rowOff>0</xdr:rowOff>
    </xdr:from>
    <xdr:ext cx="76200" cy="196215"/>
    <xdr:sp macro="" textlink="">
      <xdr:nvSpPr>
        <xdr:cNvPr id="3" name="Text Box 26">
          <a:extLst>
            <a:ext uri="{FF2B5EF4-FFF2-40B4-BE49-F238E27FC236}">
              <a16:creationId xmlns:a16="http://schemas.microsoft.com/office/drawing/2014/main" id="{651167BC-6FE9-4C71-A2CF-85F5060BC649}"/>
            </a:ext>
          </a:extLst>
        </xdr:cNvPr>
        <xdr:cNvSpPr txBox="1">
          <a:spLocks noChangeArrowheads="1"/>
        </xdr:cNvSpPr>
      </xdr:nvSpPr>
      <xdr:spPr bwMode="auto">
        <a:xfrm>
          <a:off x="10363200" y="18288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4</xdr:row>
      <xdr:rowOff>0</xdr:rowOff>
    </xdr:from>
    <xdr:ext cx="76200" cy="196215"/>
    <xdr:sp macro="" textlink="">
      <xdr:nvSpPr>
        <xdr:cNvPr id="4" name="Text Box 27">
          <a:extLst>
            <a:ext uri="{FF2B5EF4-FFF2-40B4-BE49-F238E27FC236}">
              <a16:creationId xmlns:a16="http://schemas.microsoft.com/office/drawing/2014/main" id="{E90FC93A-774C-443E-9370-62F8AC37D0AC}"/>
            </a:ext>
          </a:extLst>
        </xdr:cNvPr>
        <xdr:cNvSpPr txBox="1">
          <a:spLocks noChangeArrowheads="1"/>
        </xdr:cNvSpPr>
      </xdr:nvSpPr>
      <xdr:spPr bwMode="auto">
        <a:xfrm>
          <a:off x="10363200" y="18288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4</xdr:row>
      <xdr:rowOff>0</xdr:rowOff>
    </xdr:from>
    <xdr:ext cx="76200" cy="196215"/>
    <xdr:sp macro="" textlink="">
      <xdr:nvSpPr>
        <xdr:cNvPr id="5" name="Text Box 28">
          <a:extLst>
            <a:ext uri="{FF2B5EF4-FFF2-40B4-BE49-F238E27FC236}">
              <a16:creationId xmlns:a16="http://schemas.microsoft.com/office/drawing/2014/main" id="{349F262B-FA10-46F0-A9CE-6F4BDFAF7BBC}"/>
            </a:ext>
          </a:extLst>
        </xdr:cNvPr>
        <xdr:cNvSpPr txBox="1">
          <a:spLocks noChangeArrowheads="1"/>
        </xdr:cNvSpPr>
      </xdr:nvSpPr>
      <xdr:spPr bwMode="auto">
        <a:xfrm>
          <a:off x="10363200" y="18288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3</xdr:row>
      <xdr:rowOff>0</xdr:rowOff>
    </xdr:from>
    <xdr:ext cx="76200" cy="260985"/>
    <xdr:sp macro="" textlink="">
      <xdr:nvSpPr>
        <xdr:cNvPr id="6" name="Text Box 25">
          <a:extLst>
            <a:ext uri="{FF2B5EF4-FFF2-40B4-BE49-F238E27FC236}">
              <a16:creationId xmlns:a16="http://schemas.microsoft.com/office/drawing/2014/main" id="{BCE83CED-10A7-4478-8788-E6E2CA3706C2}"/>
            </a:ext>
          </a:extLst>
        </xdr:cNvPr>
        <xdr:cNvSpPr txBox="1">
          <a:spLocks noChangeArrowheads="1"/>
        </xdr:cNvSpPr>
      </xdr:nvSpPr>
      <xdr:spPr bwMode="auto">
        <a:xfrm>
          <a:off x="9753600" y="0"/>
          <a:ext cx="76200" cy="26098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3</xdr:row>
      <xdr:rowOff>0</xdr:rowOff>
    </xdr:from>
    <xdr:ext cx="76200" cy="260985"/>
    <xdr:sp macro="" textlink="">
      <xdr:nvSpPr>
        <xdr:cNvPr id="7" name="Text Box 26">
          <a:extLst>
            <a:ext uri="{FF2B5EF4-FFF2-40B4-BE49-F238E27FC236}">
              <a16:creationId xmlns:a16="http://schemas.microsoft.com/office/drawing/2014/main" id="{63446F8D-F856-41EB-981C-4C1246EB6293}"/>
            </a:ext>
          </a:extLst>
        </xdr:cNvPr>
        <xdr:cNvSpPr txBox="1">
          <a:spLocks noChangeArrowheads="1"/>
        </xdr:cNvSpPr>
      </xdr:nvSpPr>
      <xdr:spPr bwMode="auto">
        <a:xfrm>
          <a:off x="9753600" y="0"/>
          <a:ext cx="76200" cy="26098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3</xdr:row>
      <xdr:rowOff>0</xdr:rowOff>
    </xdr:from>
    <xdr:ext cx="76200" cy="260985"/>
    <xdr:sp macro="" textlink="">
      <xdr:nvSpPr>
        <xdr:cNvPr id="8" name="Text Box 27">
          <a:extLst>
            <a:ext uri="{FF2B5EF4-FFF2-40B4-BE49-F238E27FC236}">
              <a16:creationId xmlns:a16="http://schemas.microsoft.com/office/drawing/2014/main" id="{BD951B37-780A-4633-8FE5-D06FD6F56C2E}"/>
            </a:ext>
          </a:extLst>
        </xdr:cNvPr>
        <xdr:cNvSpPr txBox="1">
          <a:spLocks noChangeArrowheads="1"/>
        </xdr:cNvSpPr>
      </xdr:nvSpPr>
      <xdr:spPr bwMode="auto">
        <a:xfrm>
          <a:off x="9753600" y="0"/>
          <a:ext cx="76200" cy="26098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3</xdr:row>
      <xdr:rowOff>0</xdr:rowOff>
    </xdr:from>
    <xdr:ext cx="76200" cy="260985"/>
    <xdr:sp macro="" textlink="">
      <xdr:nvSpPr>
        <xdr:cNvPr id="9" name="Text Box 28">
          <a:extLst>
            <a:ext uri="{FF2B5EF4-FFF2-40B4-BE49-F238E27FC236}">
              <a16:creationId xmlns:a16="http://schemas.microsoft.com/office/drawing/2014/main" id="{A8AD1CA9-5F4D-42E8-8720-FB8E59093E71}"/>
            </a:ext>
          </a:extLst>
        </xdr:cNvPr>
        <xdr:cNvSpPr txBox="1">
          <a:spLocks noChangeArrowheads="1"/>
        </xdr:cNvSpPr>
      </xdr:nvSpPr>
      <xdr:spPr bwMode="auto">
        <a:xfrm>
          <a:off x="9753600" y="0"/>
          <a:ext cx="76200" cy="26098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85</xdr:row>
      <xdr:rowOff>0</xdr:rowOff>
    </xdr:from>
    <xdr:ext cx="76200" cy="196215"/>
    <xdr:sp macro="" textlink="">
      <xdr:nvSpPr>
        <xdr:cNvPr id="10" name="Text Box 25">
          <a:extLst>
            <a:ext uri="{FF2B5EF4-FFF2-40B4-BE49-F238E27FC236}">
              <a16:creationId xmlns:a16="http://schemas.microsoft.com/office/drawing/2014/main" id="{7FDB4C1E-61A6-43EF-95B4-A0E94C89169C}"/>
            </a:ext>
          </a:extLst>
        </xdr:cNvPr>
        <xdr:cNvSpPr txBox="1">
          <a:spLocks noChangeArrowheads="1"/>
        </xdr:cNvSpPr>
      </xdr:nvSpPr>
      <xdr:spPr bwMode="auto">
        <a:xfrm>
          <a:off x="10363200" y="149961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85</xdr:row>
      <xdr:rowOff>0</xdr:rowOff>
    </xdr:from>
    <xdr:ext cx="76200" cy="196215"/>
    <xdr:sp macro="" textlink="">
      <xdr:nvSpPr>
        <xdr:cNvPr id="11" name="Text Box 26">
          <a:extLst>
            <a:ext uri="{FF2B5EF4-FFF2-40B4-BE49-F238E27FC236}">
              <a16:creationId xmlns:a16="http://schemas.microsoft.com/office/drawing/2014/main" id="{6F9446B9-C0E1-4D41-B166-77CA62767EC2}"/>
            </a:ext>
          </a:extLst>
        </xdr:cNvPr>
        <xdr:cNvSpPr txBox="1">
          <a:spLocks noChangeArrowheads="1"/>
        </xdr:cNvSpPr>
      </xdr:nvSpPr>
      <xdr:spPr bwMode="auto">
        <a:xfrm>
          <a:off x="10363200" y="149961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85</xdr:row>
      <xdr:rowOff>0</xdr:rowOff>
    </xdr:from>
    <xdr:ext cx="76200" cy="196215"/>
    <xdr:sp macro="" textlink="">
      <xdr:nvSpPr>
        <xdr:cNvPr id="12" name="Text Box 27">
          <a:extLst>
            <a:ext uri="{FF2B5EF4-FFF2-40B4-BE49-F238E27FC236}">
              <a16:creationId xmlns:a16="http://schemas.microsoft.com/office/drawing/2014/main" id="{79CE367F-68FC-4A60-BBE1-B3F5B02642ED}"/>
            </a:ext>
          </a:extLst>
        </xdr:cNvPr>
        <xdr:cNvSpPr txBox="1">
          <a:spLocks noChangeArrowheads="1"/>
        </xdr:cNvSpPr>
      </xdr:nvSpPr>
      <xdr:spPr bwMode="auto">
        <a:xfrm>
          <a:off x="10363200" y="149961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85</xdr:row>
      <xdr:rowOff>0</xdr:rowOff>
    </xdr:from>
    <xdr:ext cx="76200" cy="196215"/>
    <xdr:sp macro="" textlink="">
      <xdr:nvSpPr>
        <xdr:cNvPr id="13" name="Text Box 28">
          <a:extLst>
            <a:ext uri="{FF2B5EF4-FFF2-40B4-BE49-F238E27FC236}">
              <a16:creationId xmlns:a16="http://schemas.microsoft.com/office/drawing/2014/main" id="{E65B1E44-411F-412C-95B7-96AE80DDA465}"/>
            </a:ext>
          </a:extLst>
        </xdr:cNvPr>
        <xdr:cNvSpPr txBox="1">
          <a:spLocks noChangeArrowheads="1"/>
        </xdr:cNvSpPr>
      </xdr:nvSpPr>
      <xdr:spPr bwMode="auto">
        <a:xfrm>
          <a:off x="10363200" y="149961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85</xdr:row>
      <xdr:rowOff>0</xdr:rowOff>
    </xdr:from>
    <xdr:ext cx="76200" cy="255270"/>
    <xdr:sp macro="" textlink="">
      <xdr:nvSpPr>
        <xdr:cNvPr id="14" name="Text Box 25">
          <a:extLst>
            <a:ext uri="{FF2B5EF4-FFF2-40B4-BE49-F238E27FC236}">
              <a16:creationId xmlns:a16="http://schemas.microsoft.com/office/drawing/2014/main" id="{7F97163D-6580-460B-ACA7-63301DBF8E87}"/>
            </a:ext>
          </a:extLst>
        </xdr:cNvPr>
        <xdr:cNvSpPr txBox="1">
          <a:spLocks noChangeArrowheads="1"/>
        </xdr:cNvSpPr>
      </xdr:nvSpPr>
      <xdr:spPr bwMode="auto">
        <a:xfrm>
          <a:off x="9753600" y="14996160"/>
          <a:ext cx="76200" cy="25527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85</xdr:row>
      <xdr:rowOff>0</xdr:rowOff>
    </xdr:from>
    <xdr:ext cx="76200" cy="255270"/>
    <xdr:sp macro="" textlink="">
      <xdr:nvSpPr>
        <xdr:cNvPr id="15" name="Text Box 26">
          <a:extLst>
            <a:ext uri="{FF2B5EF4-FFF2-40B4-BE49-F238E27FC236}">
              <a16:creationId xmlns:a16="http://schemas.microsoft.com/office/drawing/2014/main" id="{E8C07900-DF83-434E-82C0-C38E33DC51A4}"/>
            </a:ext>
          </a:extLst>
        </xdr:cNvPr>
        <xdr:cNvSpPr txBox="1">
          <a:spLocks noChangeArrowheads="1"/>
        </xdr:cNvSpPr>
      </xdr:nvSpPr>
      <xdr:spPr bwMode="auto">
        <a:xfrm>
          <a:off x="9753600" y="14996160"/>
          <a:ext cx="76200" cy="25527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85</xdr:row>
      <xdr:rowOff>0</xdr:rowOff>
    </xdr:from>
    <xdr:ext cx="76200" cy="255270"/>
    <xdr:sp macro="" textlink="">
      <xdr:nvSpPr>
        <xdr:cNvPr id="16" name="Text Box 27">
          <a:extLst>
            <a:ext uri="{FF2B5EF4-FFF2-40B4-BE49-F238E27FC236}">
              <a16:creationId xmlns:a16="http://schemas.microsoft.com/office/drawing/2014/main" id="{54740420-D4CF-48F5-A983-75E524ECD3E8}"/>
            </a:ext>
          </a:extLst>
        </xdr:cNvPr>
        <xdr:cNvSpPr txBox="1">
          <a:spLocks noChangeArrowheads="1"/>
        </xdr:cNvSpPr>
      </xdr:nvSpPr>
      <xdr:spPr bwMode="auto">
        <a:xfrm>
          <a:off x="9753600" y="14996160"/>
          <a:ext cx="76200" cy="25527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85</xdr:row>
      <xdr:rowOff>0</xdr:rowOff>
    </xdr:from>
    <xdr:ext cx="76200" cy="255270"/>
    <xdr:sp macro="" textlink="">
      <xdr:nvSpPr>
        <xdr:cNvPr id="17" name="Text Box 28">
          <a:extLst>
            <a:ext uri="{FF2B5EF4-FFF2-40B4-BE49-F238E27FC236}">
              <a16:creationId xmlns:a16="http://schemas.microsoft.com/office/drawing/2014/main" id="{470D90C6-FB78-4B29-A0AC-E90E0870D293}"/>
            </a:ext>
          </a:extLst>
        </xdr:cNvPr>
        <xdr:cNvSpPr txBox="1">
          <a:spLocks noChangeArrowheads="1"/>
        </xdr:cNvSpPr>
      </xdr:nvSpPr>
      <xdr:spPr bwMode="auto">
        <a:xfrm>
          <a:off x="9753600" y="14996160"/>
          <a:ext cx="76200" cy="25527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44</xdr:row>
      <xdr:rowOff>0</xdr:rowOff>
    </xdr:from>
    <xdr:ext cx="76200" cy="255270"/>
    <xdr:sp macro="" textlink="">
      <xdr:nvSpPr>
        <xdr:cNvPr id="18" name="Text Box 25">
          <a:extLst>
            <a:ext uri="{FF2B5EF4-FFF2-40B4-BE49-F238E27FC236}">
              <a16:creationId xmlns:a16="http://schemas.microsoft.com/office/drawing/2014/main" id="{C9D9F6BD-4FDE-4A11-B6D4-25275C5C81AC}"/>
            </a:ext>
          </a:extLst>
        </xdr:cNvPr>
        <xdr:cNvSpPr txBox="1">
          <a:spLocks noChangeArrowheads="1"/>
        </xdr:cNvSpPr>
      </xdr:nvSpPr>
      <xdr:spPr bwMode="auto">
        <a:xfrm>
          <a:off x="9753600" y="7498080"/>
          <a:ext cx="76200" cy="25527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44</xdr:row>
      <xdr:rowOff>0</xdr:rowOff>
    </xdr:from>
    <xdr:ext cx="76200" cy="255270"/>
    <xdr:sp macro="" textlink="">
      <xdr:nvSpPr>
        <xdr:cNvPr id="19" name="Text Box 26">
          <a:extLst>
            <a:ext uri="{FF2B5EF4-FFF2-40B4-BE49-F238E27FC236}">
              <a16:creationId xmlns:a16="http://schemas.microsoft.com/office/drawing/2014/main" id="{B9190ED1-CBAC-4BC3-9892-27A368CC3DEC}"/>
            </a:ext>
          </a:extLst>
        </xdr:cNvPr>
        <xdr:cNvSpPr txBox="1">
          <a:spLocks noChangeArrowheads="1"/>
        </xdr:cNvSpPr>
      </xdr:nvSpPr>
      <xdr:spPr bwMode="auto">
        <a:xfrm>
          <a:off x="9753600" y="7498080"/>
          <a:ext cx="76200" cy="25527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44</xdr:row>
      <xdr:rowOff>0</xdr:rowOff>
    </xdr:from>
    <xdr:ext cx="76200" cy="255270"/>
    <xdr:sp macro="" textlink="">
      <xdr:nvSpPr>
        <xdr:cNvPr id="20" name="Text Box 27">
          <a:extLst>
            <a:ext uri="{FF2B5EF4-FFF2-40B4-BE49-F238E27FC236}">
              <a16:creationId xmlns:a16="http://schemas.microsoft.com/office/drawing/2014/main" id="{E9AD5FCF-12B7-4D8D-BC76-BE9B1CC7890D}"/>
            </a:ext>
          </a:extLst>
        </xdr:cNvPr>
        <xdr:cNvSpPr txBox="1">
          <a:spLocks noChangeArrowheads="1"/>
        </xdr:cNvSpPr>
      </xdr:nvSpPr>
      <xdr:spPr bwMode="auto">
        <a:xfrm>
          <a:off x="9753600" y="7498080"/>
          <a:ext cx="76200" cy="25527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44</xdr:row>
      <xdr:rowOff>0</xdr:rowOff>
    </xdr:from>
    <xdr:ext cx="76200" cy="255270"/>
    <xdr:sp macro="" textlink="">
      <xdr:nvSpPr>
        <xdr:cNvPr id="21" name="Text Box 28">
          <a:extLst>
            <a:ext uri="{FF2B5EF4-FFF2-40B4-BE49-F238E27FC236}">
              <a16:creationId xmlns:a16="http://schemas.microsoft.com/office/drawing/2014/main" id="{99FCCCC4-1A36-453F-B1DE-2ABEBF7DD42D}"/>
            </a:ext>
          </a:extLst>
        </xdr:cNvPr>
        <xdr:cNvSpPr txBox="1">
          <a:spLocks noChangeArrowheads="1"/>
        </xdr:cNvSpPr>
      </xdr:nvSpPr>
      <xdr:spPr bwMode="auto">
        <a:xfrm>
          <a:off x="9753600" y="7498080"/>
          <a:ext cx="76200" cy="25527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45</xdr:row>
      <xdr:rowOff>0</xdr:rowOff>
    </xdr:from>
    <xdr:ext cx="76200" cy="196215"/>
    <xdr:sp macro="" textlink="">
      <xdr:nvSpPr>
        <xdr:cNvPr id="22" name="Text Box 25">
          <a:extLst>
            <a:ext uri="{FF2B5EF4-FFF2-40B4-BE49-F238E27FC236}">
              <a16:creationId xmlns:a16="http://schemas.microsoft.com/office/drawing/2014/main" id="{1E54AD4D-872F-427E-9F4E-43C8A7E2A751}"/>
            </a:ext>
          </a:extLst>
        </xdr:cNvPr>
        <xdr:cNvSpPr txBox="1">
          <a:spLocks noChangeArrowheads="1"/>
        </xdr:cNvSpPr>
      </xdr:nvSpPr>
      <xdr:spPr bwMode="auto">
        <a:xfrm>
          <a:off x="10363200" y="76809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45</xdr:row>
      <xdr:rowOff>0</xdr:rowOff>
    </xdr:from>
    <xdr:ext cx="76200" cy="196215"/>
    <xdr:sp macro="" textlink="">
      <xdr:nvSpPr>
        <xdr:cNvPr id="23" name="Text Box 26">
          <a:extLst>
            <a:ext uri="{FF2B5EF4-FFF2-40B4-BE49-F238E27FC236}">
              <a16:creationId xmlns:a16="http://schemas.microsoft.com/office/drawing/2014/main" id="{5E6DAE2F-CDDC-4FB5-AC95-933F81E810FD}"/>
            </a:ext>
          </a:extLst>
        </xdr:cNvPr>
        <xdr:cNvSpPr txBox="1">
          <a:spLocks noChangeArrowheads="1"/>
        </xdr:cNvSpPr>
      </xdr:nvSpPr>
      <xdr:spPr bwMode="auto">
        <a:xfrm>
          <a:off x="10363200" y="76809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45</xdr:row>
      <xdr:rowOff>0</xdr:rowOff>
    </xdr:from>
    <xdr:ext cx="76200" cy="196215"/>
    <xdr:sp macro="" textlink="">
      <xdr:nvSpPr>
        <xdr:cNvPr id="24" name="Text Box 27">
          <a:extLst>
            <a:ext uri="{FF2B5EF4-FFF2-40B4-BE49-F238E27FC236}">
              <a16:creationId xmlns:a16="http://schemas.microsoft.com/office/drawing/2014/main" id="{CE095A94-636B-4D38-B6B0-A7A97D2E3B99}"/>
            </a:ext>
          </a:extLst>
        </xdr:cNvPr>
        <xdr:cNvSpPr txBox="1">
          <a:spLocks noChangeArrowheads="1"/>
        </xdr:cNvSpPr>
      </xdr:nvSpPr>
      <xdr:spPr bwMode="auto">
        <a:xfrm>
          <a:off x="10363200" y="76809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45</xdr:row>
      <xdr:rowOff>0</xdr:rowOff>
    </xdr:from>
    <xdr:ext cx="76200" cy="196215"/>
    <xdr:sp macro="" textlink="">
      <xdr:nvSpPr>
        <xdr:cNvPr id="25" name="Text Box 28">
          <a:extLst>
            <a:ext uri="{FF2B5EF4-FFF2-40B4-BE49-F238E27FC236}">
              <a16:creationId xmlns:a16="http://schemas.microsoft.com/office/drawing/2014/main" id="{768D2931-5CC8-4D61-9790-1BA76F81E114}"/>
            </a:ext>
          </a:extLst>
        </xdr:cNvPr>
        <xdr:cNvSpPr txBox="1">
          <a:spLocks noChangeArrowheads="1"/>
        </xdr:cNvSpPr>
      </xdr:nvSpPr>
      <xdr:spPr bwMode="auto">
        <a:xfrm>
          <a:off x="10363200" y="7680960"/>
          <a:ext cx="76200" cy="196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44</xdr:row>
      <xdr:rowOff>0</xdr:rowOff>
    </xdr:from>
    <xdr:ext cx="76200" cy="255270"/>
    <xdr:sp macro="" textlink="">
      <xdr:nvSpPr>
        <xdr:cNvPr id="26" name="Text Box 25">
          <a:extLst>
            <a:ext uri="{FF2B5EF4-FFF2-40B4-BE49-F238E27FC236}">
              <a16:creationId xmlns:a16="http://schemas.microsoft.com/office/drawing/2014/main" id="{09134023-4F39-4A6E-A6D7-F90C237C2726}"/>
            </a:ext>
          </a:extLst>
        </xdr:cNvPr>
        <xdr:cNvSpPr txBox="1">
          <a:spLocks noChangeArrowheads="1"/>
        </xdr:cNvSpPr>
      </xdr:nvSpPr>
      <xdr:spPr bwMode="auto">
        <a:xfrm>
          <a:off x="9753600" y="7498080"/>
          <a:ext cx="76200" cy="25527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44</xdr:row>
      <xdr:rowOff>0</xdr:rowOff>
    </xdr:from>
    <xdr:ext cx="76200" cy="255270"/>
    <xdr:sp macro="" textlink="">
      <xdr:nvSpPr>
        <xdr:cNvPr id="27" name="Text Box 26">
          <a:extLst>
            <a:ext uri="{FF2B5EF4-FFF2-40B4-BE49-F238E27FC236}">
              <a16:creationId xmlns:a16="http://schemas.microsoft.com/office/drawing/2014/main" id="{D6027803-7887-4296-A89F-0577F115B754}"/>
            </a:ext>
          </a:extLst>
        </xdr:cNvPr>
        <xdr:cNvSpPr txBox="1">
          <a:spLocks noChangeArrowheads="1"/>
        </xdr:cNvSpPr>
      </xdr:nvSpPr>
      <xdr:spPr bwMode="auto">
        <a:xfrm>
          <a:off x="9753600" y="7498080"/>
          <a:ext cx="76200" cy="25527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44</xdr:row>
      <xdr:rowOff>0</xdr:rowOff>
    </xdr:from>
    <xdr:ext cx="76200" cy="255270"/>
    <xdr:sp macro="" textlink="">
      <xdr:nvSpPr>
        <xdr:cNvPr id="28" name="Text Box 27">
          <a:extLst>
            <a:ext uri="{FF2B5EF4-FFF2-40B4-BE49-F238E27FC236}">
              <a16:creationId xmlns:a16="http://schemas.microsoft.com/office/drawing/2014/main" id="{C8A5C1B2-55AE-4B1E-B573-A9B11C8B883B}"/>
            </a:ext>
          </a:extLst>
        </xdr:cNvPr>
        <xdr:cNvSpPr txBox="1">
          <a:spLocks noChangeArrowheads="1"/>
        </xdr:cNvSpPr>
      </xdr:nvSpPr>
      <xdr:spPr bwMode="auto">
        <a:xfrm>
          <a:off x="9753600" y="7498080"/>
          <a:ext cx="76200" cy="25527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44</xdr:row>
      <xdr:rowOff>0</xdr:rowOff>
    </xdr:from>
    <xdr:ext cx="76200" cy="255270"/>
    <xdr:sp macro="" textlink="">
      <xdr:nvSpPr>
        <xdr:cNvPr id="29" name="Text Box 28">
          <a:extLst>
            <a:ext uri="{FF2B5EF4-FFF2-40B4-BE49-F238E27FC236}">
              <a16:creationId xmlns:a16="http://schemas.microsoft.com/office/drawing/2014/main" id="{17E23437-A590-4AF7-A39A-441A8DE7E697}"/>
            </a:ext>
          </a:extLst>
        </xdr:cNvPr>
        <xdr:cNvSpPr txBox="1">
          <a:spLocks noChangeArrowheads="1"/>
        </xdr:cNvSpPr>
      </xdr:nvSpPr>
      <xdr:spPr bwMode="auto">
        <a:xfrm>
          <a:off x="9753600" y="7498080"/>
          <a:ext cx="76200" cy="25527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C477AC-8686-4C88-AEB0-0A2428EF4305}">
  <dimension ref="A1:FV188"/>
  <sheetViews>
    <sheetView zoomScaleNormal="100" workbookViewId="0">
      <pane xSplit="3" ySplit="4" topLeftCell="D5" activePane="bottomRight" state="frozen"/>
      <selection pane="topRight" activeCell="D1" sqref="D1"/>
      <selection pane="bottomLeft" activeCell="A2" sqref="A2"/>
      <selection pane="bottomRight" activeCell="D5" sqref="D5"/>
    </sheetView>
  </sheetViews>
  <sheetFormatPr baseColWidth="10" defaultColWidth="8.83203125" defaultRowHeight="15"/>
  <cols>
    <col min="1" max="1" width="24.1640625" style="1" bestFit="1" customWidth="1"/>
    <col min="2" max="2" width="12.6640625" style="1" bestFit="1" customWidth="1"/>
    <col min="3" max="3" width="8.1640625" style="1" bestFit="1" customWidth="1"/>
    <col min="4" max="4" width="27.33203125" style="1" bestFit="1" customWidth="1"/>
    <col min="5" max="5" width="27.1640625" style="1" bestFit="1" customWidth="1"/>
    <col min="6" max="6" width="18" style="1" bestFit="1" customWidth="1"/>
    <col min="7" max="7" width="5.6640625" style="1" bestFit="1" customWidth="1"/>
    <col min="8" max="8" width="4.6640625" style="1" bestFit="1" customWidth="1"/>
    <col min="9" max="10" width="5.6640625" style="1" bestFit="1" customWidth="1"/>
    <col min="11" max="11" width="4.6640625" style="1" bestFit="1" customWidth="1"/>
    <col min="12" max="13" width="5.6640625" style="1" bestFit="1" customWidth="1"/>
    <col min="14" max="14" width="5" style="1" bestFit="1" customWidth="1"/>
    <col min="15" max="16" width="4.6640625" style="1" bestFit="1" customWidth="1"/>
    <col min="17" max="17" width="5.6640625" style="1" bestFit="1" customWidth="1"/>
    <col min="18" max="18" width="4.6640625" style="1" bestFit="1" customWidth="1"/>
    <col min="19" max="19" width="6.6640625" style="1" bestFit="1" customWidth="1"/>
    <col min="20" max="20" width="8.83203125" style="1"/>
    <col min="21" max="21" width="13.83203125" style="1" customWidth="1"/>
    <col min="22" max="22" width="10.1640625" style="1" bestFit="1" customWidth="1"/>
    <col min="23" max="27" width="9.83203125" style="1" bestFit="1" customWidth="1"/>
    <col min="28" max="28" width="5.6640625" style="1" bestFit="1" customWidth="1"/>
    <col min="29" max="29" width="6.6640625" style="1" bestFit="1" customWidth="1"/>
    <col min="30" max="30" width="12.6640625" style="1" bestFit="1" customWidth="1"/>
    <col min="31" max="31" width="6.6640625" style="1" customWidth="1"/>
    <col min="32" max="32" width="4.6640625" style="1" bestFit="1" customWidth="1"/>
    <col min="33" max="35" width="6.1640625" style="1" bestFit="1" customWidth="1"/>
    <col min="36" max="36" width="8.83203125" style="1" bestFit="1" customWidth="1"/>
    <col min="37" max="38" width="8.5" style="1" bestFit="1" customWidth="1"/>
    <col min="39" max="39" width="9" style="1" bestFit="1" customWidth="1"/>
    <col min="40" max="40" width="8.6640625" style="1" bestFit="1" customWidth="1"/>
    <col min="41" max="41" width="5.6640625" style="1" bestFit="1" customWidth="1"/>
    <col min="42" max="42" width="5.1640625" style="1" bestFit="1" customWidth="1"/>
    <col min="43" max="44" width="4.6640625" style="1" bestFit="1" customWidth="1"/>
    <col min="45" max="45" width="5.6640625" style="1" bestFit="1" customWidth="1"/>
    <col min="46" max="46" width="5.1640625" style="1" bestFit="1" customWidth="1"/>
    <col min="47" max="47" width="8" style="14" bestFit="1" customWidth="1"/>
    <col min="48" max="48" width="4.6640625" style="14" bestFit="1" customWidth="1"/>
    <col min="49" max="49" width="8.83203125" style="1"/>
    <col min="50" max="50" width="4.1640625" style="1" bestFit="1" customWidth="1"/>
    <col min="51" max="52" width="5.1640625" style="1" bestFit="1" customWidth="1"/>
    <col min="53" max="53" width="4.1640625" style="117" bestFit="1" customWidth="1"/>
    <col min="54" max="54" width="3.6640625" style="1" bestFit="1" customWidth="1"/>
    <col min="55" max="55" width="4.1640625" style="1" bestFit="1" customWidth="1"/>
    <col min="56" max="56" width="5.1640625" style="118" bestFit="1" customWidth="1"/>
    <col min="57" max="57" width="4.1640625" style="1" bestFit="1" customWidth="1"/>
    <col min="58" max="58" width="5.1640625" style="1" bestFit="1" customWidth="1"/>
    <col min="59" max="60" width="5.6640625" style="1" bestFit="1" customWidth="1"/>
    <col min="61" max="61" width="4.6640625" style="1" bestFit="1" customWidth="1"/>
    <col min="62" max="63" width="5.6640625" style="1" bestFit="1" customWidth="1"/>
    <col min="64" max="64" width="4.6640625" style="1" bestFit="1" customWidth="1"/>
    <col min="65" max="65" width="5.6640625" style="1" bestFit="1" customWidth="1"/>
    <col min="66" max="66" width="6.6640625" style="1" bestFit="1" customWidth="1"/>
    <col min="67" max="68" width="5.6640625" style="1" bestFit="1" customWidth="1"/>
    <col min="69" max="69" width="6.6640625" style="1" bestFit="1" customWidth="1"/>
    <col min="70" max="70" width="5.6640625" style="1" bestFit="1" customWidth="1"/>
    <col min="71" max="71" width="5.1640625" style="1" bestFit="1" customWidth="1"/>
    <col min="72" max="72" width="5.6640625" style="1" bestFit="1" customWidth="1"/>
    <col min="73" max="73" width="4.6640625" style="1" bestFit="1" customWidth="1"/>
    <col min="74" max="74" width="5.6640625" style="1" bestFit="1" customWidth="1"/>
    <col min="75" max="76" width="4.6640625" style="1" bestFit="1" customWidth="1"/>
    <col min="77" max="77" width="5.1640625" style="1" bestFit="1" customWidth="1"/>
    <col min="78" max="78" width="4.6640625" style="1" bestFit="1" customWidth="1"/>
    <col min="79" max="79" width="5.1640625" style="1" bestFit="1" customWidth="1"/>
    <col min="80" max="80" width="12.1640625" style="1" bestFit="1" customWidth="1"/>
    <col min="81" max="81" width="5.1640625" style="1" bestFit="1" customWidth="1"/>
    <col min="82" max="82" width="4.6640625" style="1" bestFit="1" customWidth="1"/>
    <col min="83" max="83" width="3.1640625" style="1" bestFit="1" customWidth="1"/>
    <col min="84" max="84" width="6.6640625" style="1" customWidth="1"/>
    <col min="85" max="85" width="6.6640625" style="1" bestFit="1" customWidth="1"/>
    <col min="86" max="90" width="5.6640625" style="1" bestFit="1" customWidth="1"/>
    <col min="91" max="98" width="4.6640625" style="1" bestFit="1" customWidth="1"/>
    <col min="99" max="99" width="5.83203125" style="1" bestFit="1" customWidth="1"/>
    <col min="100" max="100" width="5.33203125" style="1" bestFit="1" customWidth="1"/>
    <col min="101" max="101" width="5.6640625" style="1" bestFit="1" customWidth="1"/>
    <col min="102" max="102" width="5.33203125" style="1" bestFit="1" customWidth="1"/>
    <col min="103" max="103" width="6" style="1" bestFit="1" customWidth="1"/>
    <col min="104" max="104" width="5.1640625" style="1" bestFit="1" customWidth="1"/>
    <col min="105" max="105" width="6.33203125" style="1" bestFit="1" customWidth="1"/>
    <col min="106" max="106" width="5.5" style="1" bestFit="1" customWidth="1"/>
    <col min="107" max="107" width="5.6640625" style="1" bestFit="1" customWidth="1"/>
    <col min="108" max="108" width="5.33203125" style="1" bestFit="1" customWidth="1"/>
    <col min="109" max="111" width="5.6640625" style="1" bestFit="1" customWidth="1"/>
    <col min="112" max="112" width="4.5" style="1" bestFit="1" customWidth="1"/>
    <col min="113" max="113" width="7" style="1" bestFit="1" customWidth="1"/>
    <col min="114" max="114" width="6.6640625" style="1" bestFit="1" customWidth="1"/>
    <col min="115" max="115" width="7.5" style="1" bestFit="1" customWidth="1"/>
    <col min="116" max="116" width="7.83203125" style="1" bestFit="1" customWidth="1"/>
    <col min="117" max="117" width="5.6640625" style="1" bestFit="1" customWidth="1"/>
    <col min="118" max="118" width="6.33203125" style="1" customWidth="1"/>
    <col min="119" max="119" width="5.6640625" style="1" bestFit="1" customWidth="1"/>
    <col min="120" max="120" width="5.5" style="1" bestFit="1" customWidth="1"/>
    <col min="121" max="121" width="5.6640625" style="1" bestFit="1" customWidth="1"/>
    <col min="122" max="122" width="6.33203125" style="1" bestFit="1" customWidth="1"/>
    <col min="123" max="124" width="6.6640625" style="1" bestFit="1" customWidth="1"/>
    <col min="125" max="125" width="4.6640625" style="1" bestFit="1" customWidth="1"/>
    <col min="126" max="126" width="5.6640625" style="1" bestFit="1" customWidth="1"/>
    <col min="127" max="127" width="4.33203125" style="1" bestFit="1" customWidth="1"/>
    <col min="128" max="128" width="9.33203125" style="1" bestFit="1" customWidth="1"/>
    <col min="129" max="129" width="9" style="1" bestFit="1" customWidth="1"/>
    <col min="130" max="130" width="10.5" style="1" bestFit="1" customWidth="1"/>
    <col min="131" max="131" width="6.6640625" style="1" bestFit="1" customWidth="1"/>
    <col min="132" max="132" width="5.83203125" style="1" bestFit="1" customWidth="1"/>
    <col min="133" max="133" width="6.6640625" style="1" bestFit="1" customWidth="1"/>
    <col min="134" max="134" width="6.6640625" style="1" customWidth="1"/>
    <col min="135" max="135" width="9" style="1" bestFit="1" customWidth="1"/>
    <col min="136" max="136" width="8.83203125" style="1" bestFit="1" customWidth="1"/>
    <col min="137" max="137" width="9.6640625" style="1" bestFit="1" customWidth="1"/>
    <col min="138" max="138" width="10" style="1" bestFit="1" customWidth="1"/>
    <col min="139" max="139" width="9.1640625" style="1" bestFit="1" customWidth="1"/>
    <col min="140" max="140" width="9" style="1" bestFit="1" customWidth="1"/>
    <col min="141" max="141" width="8.83203125" style="1" bestFit="1" customWidth="1"/>
    <col min="142" max="142" width="9.5" style="1" bestFit="1" customWidth="1"/>
    <col min="143" max="143" width="8.5" style="1" bestFit="1" customWidth="1"/>
    <col min="144" max="144" width="9.1640625" style="1" bestFit="1" customWidth="1"/>
    <col min="145" max="145" width="6.6640625" style="1" bestFit="1" customWidth="1"/>
    <col min="146" max="16384" width="8.83203125" style="1"/>
  </cols>
  <sheetData>
    <row r="1" spans="1:178">
      <c r="A1" s="1" t="s">
        <v>273</v>
      </c>
    </row>
    <row r="2" spans="1:178">
      <c r="A2" s="1" t="s">
        <v>274</v>
      </c>
    </row>
    <row r="3" spans="1:178">
      <c r="A3" s="1" t="s">
        <v>275</v>
      </c>
    </row>
    <row r="4" spans="1:178" s="3" customFormat="1" ht="19" thickBot="1">
      <c r="A4" s="3" t="s">
        <v>155</v>
      </c>
      <c r="B4" s="4" t="s">
        <v>154</v>
      </c>
      <c r="C4" s="4" t="s">
        <v>153</v>
      </c>
      <c r="D4" s="3" t="s">
        <v>152</v>
      </c>
      <c r="E4" s="3" t="s">
        <v>151</v>
      </c>
      <c r="F4" s="5" t="s">
        <v>150</v>
      </c>
      <c r="G4" s="4" t="s">
        <v>276</v>
      </c>
      <c r="H4" s="4" t="s">
        <v>277</v>
      </c>
      <c r="I4" s="4" t="s">
        <v>278</v>
      </c>
      <c r="J4" s="4" t="s">
        <v>279</v>
      </c>
      <c r="K4" s="4" t="s">
        <v>149</v>
      </c>
      <c r="L4" s="4" t="s">
        <v>148</v>
      </c>
      <c r="M4" s="4" t="s">
        <v>147</v>
      </c>
      <c r="N4" s="4" t="s">
        <v>280</v>
      </c>
      <c r="O4" s="4" t="s">
        <v>281</v>
      </c>
      <c r="P4" s="4" t="s">
        <v>282</v>
      </c>
      <c r="Q4" s="4" t="s">
        <v>146</v>
      </c>
      <c r="R4" s="4" t="s">
        <v>283</v>
      </c>
      <c r="S4" s="4" t="s">
        <v>145</v>
      </c>
      <c r="U4" s="7" t="s">
        <v>284</v>
      </c>
      <c r="V4" s="7" t="s">
        <v>285</v>
      </c>
      <c r="W4" s="119" t="s">
        <v>286</v>
      </c>
      <c r="X4" s="119" t="s">
        <v>287</v>
      </c>
      <c r="Y4" s="119" t="s">
        <v>288</v>
      </c>
      <c r="Z4" s="6" t="s">
        <v>289</v>
      </c>
      <c r="AA4" s="6" t="s">
        <v>290</v>
      </c>
      <c r="AB4" s="4" t="s">
        <v>291</v>
      </c>
      <c r="AC4" s="4" t="s">
        <v>292</v>
      </c>
      <c r="AD4" s="4" t="s">
        <v>293</v>
      </c>
      <c r="AE4" s="4"/>
      <c r="AF4" s="4" t="s">
        <v>144</v>
      </c>
      <c r="AG4" s="9" t="s">
        <v>143</v>
      </c>
      <c r="AH4" s="9" t="s">
        <v>142</v>
      </c>
      <c r="AI4" s="9" t="s">
        <v>141</v>
      </c>
      <c r="AJ4" s="4" t="s">
        <v>294</v>
      </c>
      <c r="AK4" s="4" t="s">
        <v>295</v>
      </c>
      <c r="AL4" s="4" t="s">
        <v>296</v>
      </c>
      <c r="AM4" s="4" t="s">
        <v>297</v>
      </c>
      <c r="AN4" s="4" t="s">
        <v>298</v>
      </c>
      <c r="AO4" s="4" t="s">
        <v>140</v>
      </c>
      <c r="AP4" s="4" t="s">
        <v>139</v>
      </c>
      <c r="AQ4" s="4" t="s">
        <v>138</v>
      </c>
      <c r="AR4" s="4" t="s">
        <v>137</v>
      </c>
      <c r="AS4" s="9" t="s">
        <v>136</v>
      </c>
      <c r="AT4" s="9" t="s">
        <v>135</v>
      </c>
      <c r="AU4" s="4" t="s">
        <v>299</v>
      </c>
      <c r="AV4" s="4" t="s">
        <v>134</v>
      </c>
      <c r="AW4" s="4"/>
      <c r="AX4" s="9" t="s">
        <v>133</v>
      </c>
      <c r="AY4" s="9" t="s">
        <v>132</v>
      </c>
      <c r="AZ4" s="9" t="s">
        <v>131</v>
      </c>
      <c r="BA4" s="8" t="s">
        <v>130</v>
      </c>
      <c r="BB4" s="9" t="s">
        <v>129</v>
      </c>
      <c r="BC4" s="9" t="s">
        <v>128</v>
      </c>
      <c r="BD4" s="9" t="s">
        <v>127</v>
      </c>
      <c r="BE4" s="9" t="s">
        <v>126</v>
      </c>
      <c r="BF4" s="9" t="s">
        <v>125</v>
      </c>
      <c r="BG4" s="9" t="s">
        <v>124</v>
      </c>
      <c r="BH4" s="9" t="s">
        <v>123</v>
      </c>
      <c r="BI4" s="9" t="s">
        <v>122</v>
      </c>
      <c r="BJ4" s="9" t="s">
        <v>121</v>
      </c>
      <c r="BK4" s="9" t="s">
        <v>120</v>
      </c>
      <c r="BL4" s="8" t="s">
        <v>119</v>
      </c>
      <c r="BM4" s="8" t="s">
        <v>118</v>
      </c>
      <c r="BN4" s="8" t="s">
        <v>117</v>
      </c>
      <c r="BO4" s="8" t="s">
        <v>116</v>
      </c>
      <c r="BP4" s="8" t="s">
        <v>115</v>
      </c>
      <c r="BQ4" s="8" t="s">
        <v>114</v>
      </c>
      <c r="BR4" s="4" t="s">
        <v>113</v>
      </c>
      <c r="BS4" s="4" t="s">
        <v>112</v>
      </c>
      <c r="BT4" s="8" t="s">
        <v>111</v>
      </c>
      <c r="BU4" s="4" t="s">
        <v>110</v>
      </c>
      <c r="BV4" s="4" t="s">
        <v>109</v>
      </c>
      <c r="BW4" s="4" t="s">
        <v>108</v>
      </c>
      <c r="BX4" s="4" t="s">
        <v>107</v>
      </c>
      <c r="BY4" s="4" t="s">
        <v>106</v>
      </c>
      <c r="BZ4" s="4" t="s">
        <v>105</v>
      </c>
      <c r="CA4" s="4" t="s">
        <v>104</v>
      </c>
      <c r="CB4" s="8" t="s">
        <v>103</v>
      </c>
      <c r="CC4" s="8" t="s">
        <v>102</v>
      </c>
      <c r="CD4" s="9" t="s">
        <v>101</v>
      </c>
      <c r="CE4" s="9" t="s">
        <v>100</v>
      </c>
      <c r="CG4" s="8" t="s">
        <v>300</v>
      </c>
      <c r="CH4" s="8" t="s">
        <v>301</v>
      </c>
      <c r="CI4" s="8" t="s">
        <v>302</v>
      </c>
      <c r="CJ4" s="8" t="s">
        <v>303</v>
      </c>
      <c r="CK4" s="8" t="s">
        <v>304</v>
      </c>
      <c r="CL4" s="8" t="s">
        <v>305</v>
      </c>
      <c r="CM4" s="8" t="s">
        <v>306</v>
      </c>
      <c r="CN4" s="8" t="s">
        <v>307</v>
      </c>
      <c r="CO4" s="8" t="s">
        <v>308</v>
      </c>
      <c r="CP4" s="8" t="s">
        <v>309</v>
      </c>
      <c r="CQ4" s="8" t="s">
        <v>310</v>
      </c>
      <c r="CR4" s="8" t="s">
        <v>311</v>
      </c>
      <c r="CS4" s="8" t="s">
        <v>312</v>
      </c>
      <c r="CT4" s="8" t="s">
        <v>313</v>
      </c>
      <c r="CU4" s="8" t="s">
        <v>99</v>
      </c>
      <c r="CV4" s="8" t="s">
        <v>98</v>
      </c>
      <c r="CW4" s="8" t="s">
        <v>97</v>
      </c>
      <c r="CX4" s="9" t="s">
        <v>96</v>
      </c>
      <c r="CY4" s="8" t="s">
        <v>95</v>
      </c>
      <c r="CZ4" s="8" t="s">
        <v>94</v>
      </c>
      <c r="DA4" s="8" t="s">
        <v>93</v>
      </c>
      <c r="DB4" s="8" t="s">
        <v>92</v>
      </c>
      <c r="DC4" s="8" t="s">
        <v>91</v>
      </c>
      <c r="DD4" s="8" t="s">
        <v>90</v>
      </c>
      <c r="DE4" s="8" t="s">
        <v>89</v>
      </c>
      <c r="DF4" s="8" t="s">
        <v>88</v>
      </c>
      <c r="DG4" s="4" t="s">
        <v>87</v>
      </c>
      <c r="DH4" s="9" t="s">
        <v>86</v>
      </c>
      <c r="DI4" s="8" t="s">
        <v>85</v>
      </c>
      <c r="DJ4" s="8" t="s">
        <v>84</v>
      </c>
      <c r="DK4" s="8" t="s">
        <v>83</v>
      </c>
      <c r="DL4" s="8" t="s">
        <v>314</v>
      </c>
      <c r="DM4" s="8" t="s">
        <v>82</v>
      </c>
      <c r="DN4" s="8" t="s">
        <v>81</v>
      </c>
      <c r="DO4" s="8" t="s">
        <v>80</v>
      </c>
      <c r="DP4" s="9" t="s">
        <v>79</v>
      </c>
      <c r="DQ4" s="8" t="s">
        <v>78</v>
      </c>
      <c r="DR4" s="8" t="s">
        <v>77</v>
      </c>
      <c r="DS4" s="4" t="s">
        <v>76</v>
      </c>
      <c r="DT4" s="10" t="s">
        <v>75</v>
      </c>
      <c r="DU4" s="8" t="s">
        <v>74</v>
      </c>
      <c r="DV4" s="8" t="s">
        <v>73</v>
      </c>
      <c r="DW4" s="8" t="s">
        <v>326</v>
      </c>
      <c r="DX4" s="8" t="s">
        <v>72</v>
      </c>
      <c r="DY4" s="8" t="s">
        <v>71</v>
      </c>
      <c r="DZ4" s="10" t="s">
        <v>70</v>
      </c>
      <c r="EA4" s="10" t="s">
        <v>69</v>
      </c>
      <c r="EB4" s="10" t="s">
        <v>68</v>
      </c>
      <c r="EC4" s="10" t="s">
        <v>67</v>
      </c>
      <c r="ED4" s="10"/>
      <c r="EE4" s="4" t="s">
        <v>316</v>
      </c>
      <c r="EF4" s="4" t="s">
        <v>317</v>
      </c>
      <c r="EG4" s="4" t="s">
        <v>318</v>
      </c>
      <c r="EH4" s="4" t="s">
        <v>319</v>
      </c>
      <c r="EI4" s="4" t="s">
        <v>320</v>
      </c>
      <c r="EJ4" s="4" t="s">
        <v>321</v>
      </c>
      <c r="EK4" s="4" t="s">
        <v>322</v>
      </c>
      <c r="EL4" s="4" t="s">
        <v>323</v>
      </c>
      <c r="EM4" s="4" t="s">
        <v>324</v>
      </c>
      <c r="EN4" s="4" t="s">
        <v>325</v>
      </c>
      <c r="EO4" s="4" t="s">
        <v>66</v>
      </c>
      <c r="EP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9"/>
      <c r="FU4" s="9"/>
      <c r="FV4" s="8"/>
    </row>
    <row r="5" spans="1:178" ht="16" thickTop="1">
      <c r="A5" s="1" t="s">
        <v>37</v>
      </c>
      <c r="B5" s="1" t="s">
        <v>65</v>
      </c>
      <c r="C5" s="1">
        <v>1</v>
      </c>
      <c r="D5" s="1" t="s">
        <v>64</v>
      </c>
      <c r="E5" s="1" t="s">
        <v>22</v>
      </c>
      <c r="F5" s="2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5"/>
      <c r="U5" s="86">
        <v>0.70657999999999999</v>
      </c>
      <c r="V5" s="86">
        <v>0.51244000000000001</v>
      </c>
      <c r="W5" s="14">
        <v>19.449000000000002</v>
      </c>
      <c r="X5" s="14">
        <v>15.785</v>
      </c>
      <c r="Y5" s="14">
        <v>40.686</v>
      </c>
      <c r="Z5" s="14">
        <v>2.0920000000000001</v>
      </c>
      <c r="AA5" s="14">
        <v>0.81162999999999996</v>
      </c>
      <c r="AB5" s="14"/>
      <c r="AC5" s="14"/>
      <c r="AD5" s="14"/>
      <c r="AF5" s="120"/>
      <c r="AG5" s="121"/>
      <c r="AH5" s="121"/>
      <c r="AI5" s="121"/>
      <c r="AJ5" s="120"/>
      <c r="AK5" s="120"/>
      <c r="AL5" s="120"/>
      <c r="AM5" s="120"/>
      <c r="AN5" s="120"/>
      <c r="AO5" s="122"/>
      <c r="AP5" s="122"/>
      <c r="AQ5" s="120"/>
      <c r="AR5" s="120"/>
      <c r="AS5" s="122"/>
      <c r="AT5" s="122"/>
      <c r="AU5" s="123"/>
      <c r="AV5" s="19"/>
      <c r="AX5" s="118">
        <v>99</v>
      </c>
      <c r="AY5" s="118">
        <v>1117</v>
      </c>
      <c r="AZ5" s="118"/>
      <c r="BB5" s="118"/>
      <c r="BC5" s="118"/>
      <c r="BE5" s="118"/>
      <c r="BF5" s="118"/>
      <c r="BG5" s="118"/>
      <c r="BH5" s="118"/>
      <c r="BI5" s="118"/>
      <c r="BJ5" s="118"/>
      <c r="BK5" s="118"/>
      <c r="BL5" s="117"/>
      <c r="BM5" s="117"/>
      <c r="BN5" s="117"/>
      <c r="BO5" s="117"/>
      <c r="BP5" s="117"/>
      <c r="BQ5" s="117"/>
      <c r="BR5" s="14"/>
      <c r="BS5" s="14"/>
      <c r="BT5" s="117"/>
      <c r="BU5" s="14"/>
      <c r="BV5" s="14"/>
      <c r="BW5" s="14"/>
      <c r="BX5" s="14"/>
      <c r="BY5" s="14"/>
      <c r="BZ5" s="14"/>
      <c r="CA5" s="14"/>
      <c r="CB5" s="117">
        <v>9.39</v>
      </c>
      <c r="CC5" s="117"/>
      <c r="CD5" s="118">
        <v>2.99</v>
      </c>
      <c r="CE5" s="118"/>
      <c r="CF5" s="118"/>
      <c r="CH5" s="22"/>
      <c r="CI5" s="22"/>
      <c r="CJ5" s="22"/>
      <c r="CK5" s="22"/>
      <c r="CL5" s="22"/>
      <c r="CM5" s="22"/>
      <c r="CN5" s="22"/>
      <c r="CO5" s="22"/>
      <c r="CP5" s="22"/>
      <c r="CQ5" s="22"/>
      <c r="CR5" s="22"/>
      <c r="CS5" s="22"/>
      <c r="CT5" s="22"/>
      <c r="CU5" s="22"/>
      <c r="CV5" s="22"/>
      <c r="CW5" s="117"/>
      <c r="CX5" s="22"/>
      <c r="CY5" s="20"/>
      <c r="CZ5" s="22"/>
      <c r="DA5" s="22"/>
      <c r="DB5" s="22"/>
      <c r="DC5" s="22"/>
      <c r="DD5" s="22"/>
      <c r="DE5" s="22"/>
      <c r="DF5" s="22"/>
      <c r="DG5" s="22"/>
      <c r="DH5" s="19"/>
      <c r="DI5" s="20"/>
      <c r="DJ5" s="19"/>
      <c r="DK5" s="22"/>
      <c r="DL5" s="22"/>
      <c r="DM5" s="124"/>
      <c r="DN5" s="124"/>
      <c r="DO5" s="124"/>
      <c r="DP5" s="121"/>
      <c r="DQ5" s="124"/>
      <c r="DR5" s="124"/>
      <c r="DS5" s="120"/>
      <c r="DT5" s="125"/>
      <c r="DU5" s="124"/>
      <c r="DV5" s="124"/>
      <c r="DW5" s="124"/>
      <c r="DX5" s="124"/>
      <c r="DY5" s="124"/>
      <c r="DZ5" s="120"/>
      <c r="EA5" s="125"/>
      <c r="EB5" s="120"/>
      <c r="EC5" s="120"/>
      <c r="ED5" s="120"/>
      <c r="EE5" s="19"/>
      <c r="EF5" s="19"/>
      <c r="EG5" s="19"/>
      <c r="EH5" s="19"/>
      <c r="EI5" s="19"/>
      <c r="EJ5" s="19"/>
      <c r="EK5" s="19"/>
      <c r="EL5" s="19"/>
    </row>
    <row r="6" spans="1:178" s="24" customFormat="1">
      <c r="A6" s="24" t="s">
        <v>37</v>
      </c>
      <c r="B6" s="24" t="s">
        <v>65</v>
      </c>
      <c r="C6" s="24">
        <v>1</v>
      </c>
      <c r="D6" s="24" t="s">
        <v>64</v>
      </c>
      <c r="E6" s="24" t="s">
        <v>22</v>
      </c>
      <c r="F6" s="1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7"/>
      <c r="U6" s="100">
        <v>0.70596000000000003</v>
      </c>
      <c r="V6" s="100"/>
      <c r="W6" s="26">
        <v>19.347000000000001</v>
      </c>
      <c r="X6" s="26">
        <v>15.706</v>
      </c>
      <c r="Y6" s="26">
        <v>40.588999999999999</v>
      </c>
      <c r="Z6" s="26">
        <v>2.0979000000000001</v>
      </c>
      <c r="AA6" s="26">
        <v>0.81179999999999997</v>
      </c>
      <c r="AB6" s="26"/>
      <c r="AC6" s="26"/>
      <c r="AD6" s="26"/>
      <c r="AF6" s="31"/>
      <c r="AG6" s="32"/>
      <c r="AH6" s="32"/>
      <c r="AI6" s="32"/>
      <c r="AJ6" s="31"/>
      <c r="AK6" s="31"/>
      <c r="AL6" s="31"/>
      <c r="AM6" s="31"/>
      <c r="AN6" s="31"/>
      <c r="AO6" s="127"/>
      <c r="AP6" s="127"/>
      <c r="AQ6" s="31"/>
      <c r="AR6" s="31"/>
      <c r="AS6" s="127"/>
      <c r="AT6" s="127"/>
      <c r="AU6" s="26"/>
      <c r="AV6" s="26"/>
      <c r="AX6" s="127">
        <v>117</v>
      </c>
      <c r="AY6" s="127">
        <v>839</v>
      </c>
      <c r="AZ6" s="127"/>
      <c r="BA6" s="128"/>
      <c r="BB6" s="127"/>
      <c r="BC6" s="127"/>
      <c r="BD6" s="127"/>
      <c r="BE6" s="127"/>
      <c r="BF6" s="127"/>
      <c r="BG6" s="127"/>
      <c r="BH6" s="127"/>
      <c r="BI6" s="127"/>
      <c r="BJ6" s="127"/>
      <c r="BK6" s="127"/>
      <c r="BL6" s="128"/>
      <c r="BM6" s="128"/>
      <c r="BN6" s="128"/>
      <c r="BO6" s="128"/>
      <c r="BP6" s="128"/>
      <c r="BQ6" s="128"/>
      <c r="BR6" s="26"/>
      <c r="BS6" s="26"/>
      <c r="BT6" s="128"/>
      <c r="BU6" s="26"/>
      <c r="BV6" s="26"/>
      <c r="BW6" s="26"/>
      <c r="BX6" s="26"/>
      <c r="BY6" s="26"/>
      <c r="BZ6" s="26"/>
      <c r="CA6" s="26"/>
      <c r="CB6" s="128"/>
      <c r="CC6" s="128"/>
      <c r="CD6" s="127"/>
      <c r="CE6" s="127"/>
      <c r="CF6" s="127"/>
      <c r="CH6" s="34"/>
      <c r="CI6" s="34"/>
      <c r="CJ6" s="34"/>
      <c r="CK6" s="34"/>
      <c r="CL6" s="34"/>
      <c r="CM6" s="34"/>
      <c r="CN6" s="34"/>
      <c r="CO6" s="34"/>
      <c r="CP6" s="34"/>
      <c r="CQ6" s="34"/>
      <c r="CR6" s="34"/>
      <c r="CS6" s="34"/>
      <c r="CT6" s="34"/>
      <c r="CU6" s="34"/>
      <c r="CV6" s="34"/>
      <c r="CW6" s="128"/>
      <c r="CX6" s="34"/>
      <c r="CY6" s="32"/>
      <c r="CZ6" s="34"/>
      <c r="DA6" s="34"/>
      <c r="DB6" s="34"/>
      <c r="DC6" s="34"/>
      <c r="DD6" s="34"/>
      <c r="DE6" s="34"/>
      <c r="DF6" s="34"/>
      <c r="DG6" s="34"/>
      <c r="DH6" s="31"/>
      <c r="DI6" s="32"/>
      <c r="DJ6" s="31"/>
      <c r="DK6" s="34"/>
      <c r="DL6" s="34"/>
      <c r="DM6" s="34"/>
      <c r="DN6" s="34"/>
      <c r="DO6" s="34"/>
      <c r="DP6" s="32"/>
      <c r="DQ6" s="34"/>
      <c r="DR6" s="34"/>
      <c r="DS6" s="31"/>
      <c r="DT6" s="35"/>
      <c r="DU6" s="34"/>
      <c r="DV6" s="34"/>
      <c r="DW6" s="34"/>
      <c r="DX6" s="34"/>
      <c r="DY6" s="34"/>
      <c r="DZ6" s="31"/>
      <c r="EA6" s="35"/>
      <c r="EB6" s="31"/>
      <c r="EC6" s="31"/>
      <c r="ED6" s="31"/>
      <c r="EE6" s="31"/>
      <c r="EF6" s="31"/>
      <c r="EG6" s="31"/>
      <c r="EH6" s="31"/>
      <c r="EI6" s="31"/>
      <c r="EJ6" s="31"/>
      <c r="EK6" s="31"/>
      <c r="EL6" s="31"/>
    </row>
    <row r="7" spans="1:178">
      <c r="A7" s="1" t="s">
        <v>45</v>
      </c>
      <c r="B7" s="1" t="s">
        <v>32</v>
      </c>
      <c r="C7" s="1">
        <v>1</v>
      </c>
      <c r="D7" s="1" t="s">
        <v>43</v>
      </c>
      <c r="E7" s="1" t="s">
        <v>63</v>
      </c>
      <c r="F7" s="2"/>
      <c r="G7" s="14">
        <v>43.49</v>
      </c>
      <c r="H7" s="14">
        <v>5.05</v>
      </c>
      <c r="I7" s="14">
        <v>14.67</v>
      </c>
      <c r="J7" s="14">
        <v>11.2332</v>
      </c>
      <c r="K7" s="14">
        <v>0.02</v>
      </c>
      <c r="L7" s="14">
        <v>3.53</v>
      </c>
      <c r="M7" s="14">
        <v>7.9</v>
      </c>
      <c r="N7" s="14">
        <v>4.46</v>
      </c>
      <c r="O7" s="14">
        <v>8.76</v>
      </c>
      <c r="P7" s="14"/>
      <c r="Q7" s="14">
        <v>1.28</v>
      </c>
      <c r="R7" s="14"/>
      <c r="S7" s="15">
        <f t="shared" ref="S7:S38" si="0">G7+H7+I7+J7+K7+L7+M7+N7+O7+P7+Q7</f>
        <v>100.39320000000001</v>
      </c>
      <c r="U7" s="86">
        <v>0.70577000000000001</v>
      </c>
      <c r="V7" s="86">
        <v>0.51249999999999996</v>
      </c>
      <c r="W7" s="14">
        <v>19.385000000000002</v>
      </c>
      <c r="X7" s="14">
        <v>15.7</v>
      </c>
      <c r="Y7" s="14">
        <v>40.430999999999997</v>
      </c>
      <c r="Z7" s="14"/>
      <c r="AA7" s="14"/>
      <c r="AB7" s="14"/>
      <c r="AC7" s="14"/>
      <c r="AD7" s="14"/>
      <c r="AF7" s="19">
        <f t="shared" ref="AF7:AF38" si="1">(L7/40.31)/((L7/40.31)+(J7-(J7*0.15))*0.8998/71.85)</f>
        <v>0.42275033668826073</v>
      </c>
      <c r="AG7" s="20">
        <f t="shared" ref="AG7:AG38" si="2">H7*5995</f>
        <v>30274.75</v>
      </c>
      <c r="AH7" s="20">
        <f t="shared" ref="AH7:AH38" si="3">O7*8302</f>
        <v>72725.52</v>
      </c>
      <c r="AI7" s="20"/>
      <c r="AJ7" s="19">
        <f t="shared" ref="AJ7:AJ38" si="4">N7+O7</f>
        <v>13.219999999999999</v>
      </c>
      <c r="AK7" s="19">
        <f t="shared" ref="AK7:AK38" si="5">O7/N7</f>
        <v>1.9641255605381165</v>
      </c>
      <c r="AL7" s="19">
        <f t="shared" ref="AL7:AL38" si="6">N7/O7</f>
        <v>0.5091324200913242</v>
      </c>
      <c r="AM7" s="19">
        <f t="shared" ref="AM7:AM38" si="7">EK7/EG7</f>
        <v>0.53851397409679613</v>
      </c>
      <c r="AN7" s="19">
        <f t="shared" ref="AN7:AN38" si="8">(EL7/61.98+EM7/94.2)/(EG7/101.96)</f>
        <v>1.1464580268212565</v>
      </c>
      <c r="AO7" s="118">
        <f t="shared" ref="AO7:AO44" si="9">1000*(4*(EE7/60.08)-11*(EL7/61.98*2+EM7/94.2*2)-2*(EH7/159.69+EF7/79.87))</f>
        <v>-1009.5744680743624</v>
      </c>
      <c r="AP7" s="118">
        <f t="shared" ref="AP7:AP44" si="10">1000*(6*(EK7/56.08)+2*(EJ7/40.3)+EG7/101.96*2)</f>
        <v>1319.8717453981308</v>
      </c>
      <c r="AQ7" s="19">
        <f t="shared" ref="AQ7:AQ44" si="11">(EG7/101.96)/((EK7/56.08)+(EL7/61.98)+(EM7/94.2))</f>
        <v>0.47046880821413173</v>
      </c>
      <c r="AR7" s="19">
        <f t="shared" ref="AR7:AR44" si="12">(EL7/61.98+EM7/94.2)/(EG7/101.96)</f>
        <v>1.1464580268212565</v>
      </c>
      <c r="AS7" s="118">
        <f t="shared" ref="AS7:AS44" si="13">1000*(4*(EE7/60.08)-11*(EL7/61.98*2+EM7/94.2*2)-2*(EH7/159.69+EF7/79.87))</f>
        <v>-1009.5744680743624</v>
      </c>
      <c r="AT7" s="118">
        <f t="shared" ref="AT7:AT44" si="14">1000*(6*(EK7/56.08)+2*(EJ7/40.3)+EG7/101.96*2)</f>
        <v>1319.8717453981308</v>
      </c>
      <c r="AU7" s="14">
        <f t="shared" ref="AU7:AU38" si="15">O7/G7</f>
        <v>0.20142561508392731</v>
      </c>
      <c r="AV7" s="14">
        <f t="shared" ref="AV7:AV38" si="16">(O7/94.2)/(I7/101.96)</f>
        <v>0.64632791910350418</v>
      </c>
      <c r="AX7" s="118">
        <v>270</v>
      </c>
      <c r="AY7" s="118">
        <v>1514</v>
      </c>
      <c r="AZ7" s="118">
        <v>1566</v>
      </c>
      <c r="BB7" s="118"/>
      <c r="BC7" s="118">
        <v>272</v>
      </c>
      <c r="BD7" s="118">
        <v>11</v>
      </c>
      <c r="BE7" s="118"/>
      <c r="BF7" s="118">
        <v>20</v>
      </c>
      <c r="BG7" s="118"/>
      <c r="BH7" s="118">
        <v>124</v>
      </c>
      <c r="BI7" s="118">
        <v>25</v>
      </c>
      <c r="BJ7" s="118">
        <v>385</v>
      </c>
      <c r="BK7" s="118">
        <v>216</v>
      </c>
      <c r="BL7" s="117"/>
      <c r="BM7" s="117"/>
      <c r="BN7" s="117">
        <v>167</v>
      </c>
      <c r="BO7" s="117">
        <v>292</v>
      </c>
      <c r="BP7" s="117">
        <v>32.200000000000003</v>
      </c>
      <c r="BQ7" s="117">
        <v>116</v>
      </c>
      <c r="BR7" s="14">
        <v>15.4</v>
      </c>
      <c r="BS7" s="14">
        <v>4.07</v>
      </c>
      <c r="BT7" s="117">
        <v>11</v>
      </c>
      <c r="BU7" s="14">
        <v>1.51</v>
      </c>
      <c r="BV7" s="14">
        <v>6.68</v>
      </c>
      <c r="BW7" s="14">
        <v>1.01</v>
      </c>
      <c r="BX7" s="14">
        <v>2.62</v>
      </c>
      <c r="BY7" s="14">
        <v>0.34</v>
      </c>
      <c r="BZ7" s="14">
        <v>2.2000000000000002</v>
      </c>
      <c r="CA7" s="14">
        <v>0.36</v>
      </c>
      <c r="CB7" s="117">
        <v>5.58</v>
      </c>
      <c r="CC7" s="117">
        <v>26.9</v>
      </c>
      <c r="CD7" s="118">
        <v>5.23</v>
      </c>
      <c r="CE7" s="118"/>
      <c r="CF7" s="118"/>
      <c r="CG7" s="22">
        <f t="shared" ref="CG7:CG33" si="17">BN7/0.31</f>
        <v>538.70967741935488</v>
      </c>
      <c r="CH7" s="22">
        <f t="shared" ref="CH7:CH33" si="18">BO7/0.808</f>
        <v>361.38613861386136</v>
      </c>
      <c r="CI7" s="22">
        <f t="shared" ref="CI7:CI33" si="19">BP7/0.122</f>
        <v>263.93442622950823</v>
      </c>
      <c r="CJ7" s="22">
        <f t="shared" ref="CJ7:CJ33" si="20">BQ7/0.6</f>
        <v>193.33333333333334</v>
      </c>
      <c r="CK7" s="22">
        <f>BR7/0.195</f>
        <v>78.974358974358978</v>
      </c>
      <c r="CL7" s="22">
        <f t="shared" ref="CL7:CL33" si="21">BS7/0.074</f>
        <v>55.000000000000007</v>
      </c>
      <c r="CM7" s="22">
        <f t="shared" ref="CM7:CM33" si="22">BT7/0.259</f>
        <v>42.471042471042473</v>
      </c>
      <c r="CN7" s="22">
        <f t="shared" ref="CN7:CN33" si="23">BU7/0.0474</f>
        <v>31.856540084388186</v>
      </c>
      <c r="CO7" s="22">
        <f t="shared" ref="CO7:CO33" si="24">BV7/0.322</f>
        <v>20.745341614906831</v>
      </c>
      <c r="CP7" s="22">
        <f t="shared" ref="CP7:CP33" si="25">BW7/0.0718</f>
        <v>14.066852367688021</v>
      </c>
      <c r="CQ7" s="22">
        <f t="shared" ref="CQ7:CQ33" si="26">BX7/0.21</f>
        <v>12.476190476190476</v>
      </c>
      <c r="CR7" s="22">
        <f t="shared" ref="CR7:CR33" si="27">BY7/0.0324</f>
        <v>10.493827160493829</v>
      </c>
      <c r="CS7" s="22">
        <f t="shared" ref="CS7:CS33" si="28">BZ7/0.209</f>
        <v>10.526315789473685</v>
      </c>
      <c r="CT7" s="22">
        <f t="shared" ref="CT7:CT33" si="29">CA7/0.032</f>
        <v>11.25</v>
      </c>
      <c r="CU7" s="22">
        <f t="shared" ref="CU7:CU33" si="30">AZ7/BK7</f>
        <v>7.25</v>
      </c>
      <c r="CV7" s="117">
        <f t="shared" ref="CV7:CV33" si="31">AZ7/BN7</f>
        <v>9.3772455089820355</v>
      </c>
      <c r="CW7" s="22">
        <f t="shared" ref="CW7:CW33" si="32">BN7/BK7</f>
        <v>0.77314814814814814</v>
      </c>
      <c r="CX7" s="20">
        <f t="shared" ref="CX7:CX33" si="33">AG7/BK7</f>
        <v>140.16087962962962</v>
      </c>
      <c r="CY7" s="22">
        <f t="shared" ref="CY7:CY33" si="34">BO7/CB7</f>
        <v>52.329749103942653</v>
      </c>
      <c r="CZ7" s="22">
        <f t="shared" ref="CZ7:CZ33" si="35">BK7/CD7</f>
        <v>41.300191204588906</v>
      </c>
      <c r="DA7" s="22">
        <f t="shared" ref="DA7:DA33" si="36">AX7/BR7</f>
        <v>17.532467532467532</v>
      </c>
      <c r="DB7" s="22">
        <f t="shared" ref="DB7:DB33" si="37">BJ7/BK7</f>
        <v>1.7824074074074074</v>
      </c>
      <c r="DC7" s="22">
        <f t="shared" ref="DC7:DC33" si="38">AZ7/CC7</f>
        <v>58.215613382899633</v>
      </c>
      <c r="DD7" s="22"/>
      <c r="DE7" s="22"/>
      <c r="DF7" s="22">
        <f t="shared" ref="DF7:DF33" si="39">CC7/BZ7</f>
        <v>12.227272727272725</v>
      </c>
      <c r="DG7" s="19">
        <f t="shared" ref="DG7:DG33" si="40">BK7/BI7</f>
        <v>8.64</v>
      </c>
      <c r="DH7" s="20">
        <f t="shared" ref="DH7:DH33" si="41">AH7/BN7</f>
        <v>435.48215568862275</v>
      </c>
      <c r="DI7" s="19">
        <f t="shared" ref="DI7:DI33" si="42">(BK7/0.46)/((O7/0.023)*(CD7/0.017))^0.5</f>
        <v>1.3717703153895948</v>
      </c>
      <c r="DJ7" s="22">
        <f t="shared" ref="DJ7:DJ33" si="43">BN7/CA7</f>
        <v>463.88888888888891</v>
      </c>
      <c r="DK7" s="22">
        <f t="shared" ref="DK7:DK33" si="44">CG7/CT7</f>
        <v>47.88530465949821</v>
      </c>
      <c r="DL7" s="22">
        <f t="shared" ref="DL7:DL33" si="45">CG7/CK7</f>
        <v>6.8213238374528702</v>
      </c>
      <c r="DM7" s="22">
        <f t="shared" ref="DM7:DM33" si="46">BN7/BZ7</f>
        <v>75.909090909090907</v>
      </c>
      <c r="DN7" s="22">
        <f t="shared" ref="DN7:DN33" si="47">BR7/BZ7</f>
        <v>7</v>
      </c>
      <c r="DO7" s="22">
        <f t="shared" ref="DO7:DO33" si="48">BL7/BQ7</f>
        <v>0</v>
      </c>
      <c r="DP7" s="20">
        <f t="shared" ref="DP7:DP33" si="49">AY7/BZ7</f>
        <v>688.18181818181813</v>
      </c>
      <c r="DQ7" s="22">
        <f t="shared" ref="DQ7:DQ33" si="50">AY7/BQ7</f>
        <v>13.051724137931034</v>
      </c>
      <c r="DR7" s="22">
        <f t="shared" ref="DR7:DR33" si="51">AY7/(((BR7/0.195)*(BT7/0.259))^0.5)</f>
        <v>26.141852498744527</v>
      </c>
      <c r="DS7" s="19">
        <f t="shared" ref="DS7:DS33" si="52">(BS7/0.074)/(((BR7/0.195)*(BT7/0.259))^0.5)</f>
        <v>0.949670995661129</v>
      </c>
      <c r="DT7" s="23">
        <f t="shared" ref="DT7:DT33" si="53">1/AY7</f>
        <v>6.6050198150594452E-4</v>
      </c>
      <c r="DU7" s="22">
        <f t="shared" ref="DU7:DU33" si="54">BJ7/BI7</f>
        <v>15.4</v>
      </c>
      <c r="DV7" s="22"/>
      <c r="DW7" s="22">
        <f t="shared" ref="DW7:DW33" si="55">1.74+LOG(BK7/BI7)-1.92*LOG(BJ7/BI7)</f>
        <v>0.39647395847288447</v>
      </c>
      <c r="DX7" s="22">
        <f t="shared" ref="DX7:DX33" si="56">BK7*100/BJ7</f>
        <v>56.103896103896105</v>
      </c>
      <c r="DY7" s="22">
        <f t="shared" ref="DY7:DY33" si="57">CC7*100/BJ7</f>
        <v>6.9870129870129869</v>
      </c>
      <c r="DZ7" s="19">
        <f t="shared" ref="DZ7:DZ33" si="58">EI7*100/AY7</f>
        <v>1.3328234412892418E-3</v>
      </c>
      <c r="EA7" s="23"/>
      <c r="EB7" s="19">
        <f t="shared" ref="EB7:EB33" si="59">CC7/BK7</f>
        <v>0.12453703703703703</v>
      </c>
      <c r="EC7" s="19">
        <f t="shared" ref="EC7:EC33" si="60">(CB7/0.144)/(CH7*CI7)^(1/2)</f>
        <v>0.12546943461408147</v>
      </c>
      <c r="ED7" s="19"/>
      <c r="EE7" s="19">
        <f t="shared" ref="EE7:EE38" si="61">100*G7/($G7+$H7+$I7+$J7+$K7+$L7+$M7+$N7+$O7+$P7)</f>
        <v>43.879120036483535</v>
      </c>
      <c r="EF7" s="19">
        <f t="shared" ref="EF7:EF38" si="62">100*H7/($G7+$H7+$I7+$J7+$K7+$L7+$M7+$N7+$O7+$P7)</f>
        <v>5.0951840925325786</v>
      </c>
      <c r="EG7" s="19">
        <f t="shared" ref="EG7:EG38" si="63">100*I7/($G7+$H7+$I7+$J7+$K7+$L7+$M7+$N7+$O7+$P7)</f>
        <v>14.801257551970878</v>
      </c>
      <c r="EH7" s="19">
        <f t="shared" ref="EH7:EH38" si="64">100*J7/($G7+$H7+$I7+$J7+$K7+$L7+$M7+$N7+$O7+$P7)</f>
        <v>11.333707316482567</v>
      </c>
      <c r="EI7" s="19">
        <f t="shared" ref="EI7:EI38" si="65">100*K7/($G7+$H7+$I7+$J7+$K7+$L7+$M7+$N7+$O7+$P7)</f>
        <v>2.0178946901119123E-2</v>
      </c>
      <c r="EJ7" s="19">
        <f t="shared" ref="EJ7:EJ38" si="66">100*L7/($G7+$H7+$I7+$J7+$K7+$L7+$M7+$N7+$O7+$P7)</f>
        <v>3.5615841280475253</v>
      </c>
      <c r="EK7" s="19">
        <f t="shared" ref="EK7:EK38" si="67">100*M7/($G7+$H7+$I7+$J7+$K7+$L7+$M7+$N7+$O7+$P7)</f>
        <v>7.9706840259420533</v>
      </c>
      <c r="EL7" s="19">
        <f t="shared" ref="EL7:EL38" si="68">100*N7/($G7+$H7+$I7+$J7+$K7+$L7+$M7+$N7+$O7+$P7)</f>
        <v>4.4999051589495647</v>
      </c>
      <c r="EM7" s="19">
        <f t="shared" ref="EM7:EM38" si="69">100*O7/($G7+$H7+$I7+$J7+$K7+$L7+$M7+$N7+$O7+$P7)</f>
        <v>8.8383787426901765</v>
      </c>
      <c r="EN7" s="19">
        <f t="shared" ref="EN7:EN38" si="70">100*P7/($G7+$H7+$I7+$J7+$K7+$L7+$M7+$N7+$O7+$P7)</f>
        <v>0</v>
      </c>
      <c r="EO7" s="19">
        <f t="shared" ref="EO7:EO38" si="71">SUM(EE7:EN7)</f>
        <v>100</v>
      </c>
      <c r="EP7" s="19"/>
    </row>
    <row r="8" spans="1:178">
      <c r="A8" s="1" t="s">
        <v>45</v>
      </c>
      <c r="B8" s="1" t="s">
        <v>32</v>
      </c>
      <c r="C8" s="1">
        <v>1</v>
      </c>
      <c r="D8" s="1" t="s">
        <v>43</v>
      </c>
      <c r="E8" s="1" t="s">
        <v>62</v>
      </c>
      <c r="F8" s="2"/>
      <c r="G8" s="14">
        <v>43.49</v>
      </c>
      <c r="H8" s="14">
        <v>4.6900000000000004</v>
      </c>
      <c r="I8" s="14">
        <v>8.92</v>
      </c>
      <c r="J8" s="14">
        <v>11.499600000000001</v>
      </c>
      <c r="K8" s="14">
        <v>0.19</v>
      </c>
      <c r="L8" s="14">
        <v>10.96</v>
      </c>
      <c r="M8" s="14">
        <v>13.5</v>
      </c>
      <c r="N8" s="14">
        <v>1.89</v>
      </c>
      <c r="O8" s="14">
        <v>3.88</v>
      </c>
      <c r="P8" s="14"/>
      <c r="Q8" s="14">
        <v>0.7</v>
      </c>
      <c r="R8" s="14"/>
      <c r="S8" s="15">
        <f t="shared" si="0"/>
        <v>99.719600000000014</v>
      </c>
      <c r="U8" s="86">
        <v>0.70565</v>
      </c>
      <c r="V8" s="86">
        <v>0.51253000000000004</v>
      </c>
      <c r="W8" s="14">
        <v>19.431999999999999</v>
      </c>
      <c r="X8" s="14">
        <v>15.722</v>
      </c>
      <c r="Y8" s="14">
        <v>40.433</v>
      </c>
      <c r="Z8" s="14"/>
      <c r="AA8" s="14"/>
      <c r="AB8" s="14"/>
      <c r="AC8" s="14"/>
      <c r="AD8" s="14"/>
      <c r="AF8" s="19">
        <f t="shared" si="1"/>
        <v>0.68955137084856355</v>
      </c>
      <c r="AG8" s="20">
        <f t="shared" si="2"/>
        <v>28116.550000000003</v>
      </c>
      <c r="AH8" s="20">
        <f t="shared" si="3"/>
        <v>32211.759999999998</v>
      </c>
      <c r="AI8" s="20"/>
      <c r="AJ8" s="19">
        <f t="shared" si="4"/>
        <v>5.77</v>
      </c>
      <c r="AK8" s="19">
        <f t="shared" si="5"/>
        <v>2.052910052910053</v>
      </c>
      <c r="AL8" s="19">
        <f t="shared" si="6"/>
        <v>0.48711340206185566</v>
      </c>
      <c r="AM8" s="19">
        <f t="shared" si="7"/>
        <v>1.5134529147982063</v>
      </c>
      <c r="AN8" s="19">
        <f t="shared" si="8"/>
        <v>0.81936824649283468</v>
      </c>
      <c r="AO8" s="118">
        <f t="shared" si="9"/>
        <v>1067.4544578353496</v>
      </c>
      <c r="AP8" s="118">
        <f t="shared" si="10"/>
        <v>2184.6749177054521</v>
      </c>
      <c r="AQ8" s="19">
        <f t="shared" si="11"/>
        <v>0.28003339364403418</v>
      </c>
      <c r="AR8" s="19">
        <f t="shared" si="12"/>
        <v>0.81936824649283468</v>
      </c>
      <c r="AS8" s="118">
        <f t="shared" si="13"/>
        <v>1067.4544578353496</v>
      </c>
      <c r="AT8" s="118">
        <f t="shared" si="14"/>
        <v>2184.6749177054521</v>
      </c>
      <c r="AU8" s="14">
        <f t="shared" si="15"/>
        <v>8.9215911703839954E-2</v>
      </c>
      <c r="AV8" s="14">
        <f t="shared" si="16"/>
        <v>0.47081012634124514</v>
      </c>
      <c r="AX8" s="118">
        <v>111</v>
      </c>
      <c r="AY8" s="118">
        <v>860</v>
      </c>
      <c r="AZ8" s="118">
        <v>1153</v>
      </c>
      <c r="BB8" s="118"/>
      <c r="BC8" s="118">
        <v>311</v>
      </c>
      <c r="BD8" s="118">
        <v>728</v>
      </c>
      <c r="BE8" s="118"/>
      <c r="BF8" s="118">
        <v>139</v>
      </c>
      <c r="BG8" s="118"/>
      <c r="BH8" s="118">
        <v>97</v>
      </c>
      <c r="BI8" s="118">
        <v>15</v>
      </c>
      <c r="BJ8" s="118">
        <v>224</v>
      </c>
      <c r="BK8" s="118">
        <v>107</v>
      </c>
      <c r="BL8" s="117"/>
      <c r="BM8" s="117"/>
      <c r="BN8" s="117">
        <v>84</v>
      </c>
      <c r="BO8" s="117">
        <v>162</v>
      </c>
      <c r="BP8" s="117">
        <v>18</v>
      </c>
      <c r="BQ8" s="117">
        <v>67</v>
      </c>
      <c r="BR8" s="14">
        <v>9.51</v>
      </c>
      <c r="BS8" s="14">
        <v>2.65</v>
      </c>
      <c r="BT8" s="117">
        <v>7.17</v>
      </c>
      <c r="BU8" s="14">
        <v>0.98</v>
      </c>
      <c r="BV8" s="14">
        <v>4.1500000000000004</v>
      </c>
      <c r="BW8" s="14">
        <v>0.65</v>
      </c>
      <c r="BX8" s="14">
        <v>1.59</v>
      </c>
      <c r="BY8" s="14">
        <v>0.24</v>
      </c>
      <c r="BZ8" s="14">
        <v>1.39</v>
      </c>
      <c r="CA8" s="14">
        <v>0.2</v>
      </c>
      <c r="CB8" s="117">
        <v>4.0999999999999996</v>
      </c>
      <c r="CC8" s="117">
        <v>12.4</v>
      </c>
      <c r="CD8" s="118">
        <v>2.65</v>
      </c>
      <c r="CE8" s="118"/>
      <c r="CF8" s="118"/>
      <c r="CG8" s="22">
        <f t="shared" si="17"/>
        <v>270.9677419354839</v>
      </c>
      <c r="CH8" s="22">
        <f t="shared" si="18"/>
        <v>200.49504950495049</v>
      </c>
      <c r="CI8" s="22">
        <f t="shared" si="19"/>
        <v>147.54098360655738</v>
      </c>
      <c r="CJ8" s="22">
        <f t="shared" si="20"/>
        <v>111.66666666666667</v>
      </c>
      <c r="CK8" s="22">
        <f t="shared" ref="CK8:CK33" si="72">BR8/0.195</f>
        <v>48.769230769230766</v>
      </c>
      <c r="CL8" s="22">
        <f t="shared" si="21"/>
        <v>35.810810810810814</v>
      </c>
      <c r="CM8" s="22">
        <f t="shared" si="22"/>
        <v>27.683397683397683</v>
      </c>
      <c r="CN8" s="22">
        <f t="shared" si="23"/>
        <v>20.675105485232066</v>
      </c>
      <c r="CO8" s="22">
        <f t="shared" si="24"/>
        <v>12.888198757763975</v>
      </c>
      <c r="CP8" s="22">
        <f t="shared" si="25"/>
        <v>9.0529247910863511</v>
      </c>
      <c r="CQ8" s="22">
        <f t="shared" si="26"/>
        <v>7.5714285714285721</v>
      </c>
      <c r="CR8" s="22">
        <f t="shared" si="27"/>
        <v>7.4074074074074074</v>
      </c>
      <c r="CS8" s="22">
        <f t="shared" si="28"/>
        <v>6.6507177033492821</v>
      </c>
      <c r="CT8" s="22">
        <f t="shared" si="29"/>
        <v>6.25</v>
      </c>
      <c r="CU8" s="22">
        <f t="shared" si="30"/>
        <v>10.77570093457944</v>
      </c>
      <c r="CV8" s="117">
        <f t="shared" si="31"/>
        <v>13.726190476190476</v>
      </c>
      <c r="CW8" s="22">
        <f t="shared" si="32"/>
        <v>0.78504672897196259</v>
      </c>
      <c r="CX8" s="20">
        <f t="shared" si="33"/>
        <v>262.77149532710285</v>
      </c>
      <c r="CY8" s="22">
        <f t="shared" si="34"/>
        <v>39.512195121951223</v>
      </c>
      <c r="CZ8" s="22">
        <f t="shared" si="35"/>
        <v>40.377358490566039</v>
      </c>
      <c r="DA8" s="22">
        <f t="shared" si="36"/>
        <v>11.67192429022082</v>
      </c>
      <c r="DB8" s="22">
        <f t="shared" si="37"/>
        <v>2.0934579439252334</v>
      </c>
      <c r="DC8" s="22">
        <f t="shared" si="38"/>
        <v>92.983870967741936</v>
      </c>
      <c r="DD8" s="22"/>
      <c r="DE8" s="22"/>
      <c r="DF8" s="22">
        <f t="shared" si="39"/>
        <v>8.9208633093525194</v>
      </c>
      <c r="DG8" s="19">
        <f t="shared" si="40"/>
        <v>7.1333333333333337</v>
      </c>
      <c r="DH8" s="20">
        <f t="shared" si="41"/>
        <v>383.4733333333333</v>
      </c>
      <c r="DI8" s="19">
        <f t="shared" si="42"/>
        <v>1.4344173346078537</v>
      </c>
      <c r="DJ8" s="22">
        <f t="shared" si="43"/>
        <v>420</v>
      </c>
      <c r="DK8" s="22">
        <f t="shared" si="44"/>
        <v>43.354838709677423</v>
      </c>
      <c r="DL8" s="22">
        <f t="shared" si="45"/>
        <v>5.5561208914215943</v>
      </c>
      <c r="DM8" s="22">
        <f t="shared" si="46"/>
        <v>60.431654676258994</v>
      </c>
      <c r="DN8" s="22">
        <f t="shared" si="47"/>
        <v>6.8417266187050361</v>
      </c>
      <c r="DO8" s="22">
        <f t="shared" si="48"/>
        <v>0</v>
      </c>
      <c r="DP8" s="20">
        <f t="shared" si="49"/>
        <v>618.70503597122308</v>
      </c>
      <c r="DQ8" s="22">
        <f t="shared" si="50"/>
        <v>12.835820895522389</v>
      </c>
      <c r="DR8" s="22">
        <f t="shared" si="51"/>
        <v>23.405385718996921</v>
      </c>
      <c r="DS8" s="19">
        <f t="shared" si="52"/>
        <v>0.97461144178726977</v>
      </c>
      <c r="DT8" s="23">
        <f t="shared" si="53"/>
        <v>1.1627906976744186E-3</v>
      </c>
      <c r="DU8" s="22">
        <f t="shared" si="54"/>
        <v>14.933333333333334</v>
      </c>
      <c r="DV8" s="22"/>
      <c r="DW8" s="22">
        <f t="shared" si="55"/>
        <v>0.33891154081484398</v>
      </c>
      <c r="DX8" s="22">
        <f t="shared" si="56"/>
        <v>47.767857142857146</v>
      </c>
      <c r="DY8" s="22">
        <f t="shared" si="57"/>
        <v>5.5357142857142856</v>
      </c>
      <c r="DZ8" s="19">
        <f t="shared" si="58"/>
        <v>2.2311767827595697E-2</v>
      </c>
      <c r="EA8" s="23"/>
      <c r="EB8" s="19">
        <f t="shared" si="59"/>
        <v>0.11588785046728972</v>
      </c>
      <c r="EC8" s="19">
        <f t="shared" si="60"/>
        <v>0.16554390690963097</v>
      </c>
      <c r="ED8" s="19"/>
      <c r="EE8" s="19">
        <f t="shared" si="61"/>
        <v>43.920597538265149</v>
      </c>
      <c r="EF8" s="19">
        <f t="shared" si="62"/>
        <v>4.7364360187276056</v>
      </c>
      <c r="EG8" s="19">
        <f t="shared" si="63"/>
        <v>9.00831754521327</v>
      </c>
      <c r="EH8" s="19">
        <f t="shared" si="64"/>
        <v>11.613458345620462</v>
      </c>
      <c r="EI8" s="19">
        <f t="shared" si="65"/>
        <v>0.191881203317323</v>
      </c>
      <c r="EJ8" s="19">
        <f t="shared" si="66"/>
        <v>11.068515728199264</v>
      </c>
      <c r="EK8" s="19">
        <f t="shared" si="67"/>
        <v>13.633664446230846</v>
      </c>
      <c r="EL8" s="19">
        <f t="shared" si="68"/>
        <v>1.9087130224723183</v>
      </c>
      <c r="EM8" s="19">
        <f t="shared" si="69"/>
        <v>3.9184161519537541</v>
      </c>
      <c r="EN8" s="19">
        <f t="shared" si="70"/>
        <v>0</v>
      </c>
      <c r="EO8" s="19">
        <f t="shared" si="71"/>
        <v>99.999999999999972</v>
      </c>
      <c r="EP8" s="19"/>
    </row>
    <row r="9" spans="1:178">
      <c r="A9" s="1" t="s">
        <v>45</v>
      </c>
      <c r="B9" s="36" t="s">
        <v>60</v>
      </c>
      <c r="C9" s="1">
        <v>1</v>
      </c>
      <c r="D9" s="1" t="s">
        <v>43</v>
      </c>
      <c r="E9" s="1" t="s">
        <v>59</v>
      </c>
      <c r="F9" s="2" t="s">
        <v>61</v>
      </c>
      <c r="G9" s="14">
        <v>36.6</v>
      </c>
      <c r="H9" s="14">
        <v>2.6</v>
      </c>
      <c r="I9" s="14">
        <v>19.899999999999999</v>
      </c>
      <c r="J9" s="14">
        <v>12.4</v>
      </c>
      <c r="K9" s="14">
        <v>0.27</v>
      </c>
      <c r="L9" s="14">
        <v>3.9</v>
      </c>
      <c r="M9" s="14">
        <v>11.4</v>
      </c>
      <c r="N9" s="14">
        <v>5.5</v>
      </c>
      <c r="O9" s="14">
        <v>5.0999999999999996</v>
      </c>
      <c r="P9" s="14">
        <v>1.4</v>
      </c>
      <c r="Q9" s="14"/>
      <c r="R9" s="14"/>
      <c r="S9" s="15">
        <f t="shared" si="0"/>
        <v>99.070000000000007</v>
      </c>
      <c r="U9" s="86">
        <v>0.70469000000000004</v>
      </c>
      <c r="V9" s="86">
        <v>0.51267499999999999</v>
      </c>
      <c r="W9" s="14">
        <v>19.690000000000001</v>
      </c>
      <c r="X9" s="14">
        <v>15.67</v>
      </c>
      <c r="Y9" s="14">
        <v>39.64</v>
      </c>
      <c r="Z9" s="14">
        <f t="shared" ref="Z9:Z33" si="73">Y9/W9</f>
        <v>2.0132046724225496</v>
      </c>
      <c r="AA9" s="14">
        <f t="shared" ref="AA9:AA33" si="74">X9/W9</f>
        <v>0.79583544946673435</v>
      </c>
      <c r="AB9" s="14">
        <f t="shared" ref="AB9:AB33" si="75">(X9-((0.1084*W9)+13.491))*100</f>
        <v>4.4603999999999644</v>
      </c>
      <c r="AC9" s="14">
        <f t="shared" ref="AC9:AC33" si="76">(Y9-(1.209*W9+15.627))*100</f>
        <v>20.77899999999957</v>
      </c>
      <c r="AD9" s="14"/>
      <c r="AF9" s="19">
        <f t="shared" si="1"/>
        <v>0.42295921515152918</v>
      </c>
      <c r="AG9" s="20">
        <f t="shared" si="2"/>
        <v>15587</v>
      </c>
      <c r="AH9" s="20">
        <f t="shared" si="3"/>
        <v>42340.2</v>
      </c>
      <c r="AI9" s="20">
        <f t="shared" ref="AI9:AI55" si="77">P9*4364</f>
        <v>6109.5999999999995</v>
      </c>
      <c r="AJ9" s="19">
        <f t="shared" si="4"/>
        <v>10.6</v>
      </c>
      <c r="AK9" s="19">
        <f t="shared" si="5"/>
        <v>0.92727272727272725</v>
      </c>
      <c r="AL9" s="19">
        <f t="shared" si="6"/>
        <v>1.0784313725490198</v>
      </c>
      <c r="AM9" s="19">
        <f t="shared" si="7"/>
        <v>0.57286432160804024</v>
      </c>
      <c r="AN9" s="19">
        <f t="shared" si="8"/>
        <v>0.73205450902576885</v>
      </c>
      <c r="AO9" s="118">
        <f t="shared" si="9"/>
        <v>-935.68300717326974</v>
      </c>
      <c r="AP9" s="118">
        <f t="shared" si="10"/>
        <v>1820.5144910200554</v>
      </c>
      <c r="AQ9" s="19">
        <f t="shared" si="11"/>
        <v>0.5638285311084168</v>
      </c>
      <c r="AR9" s="19">
        <f t="shared" si="12"/>
        <v>0.73205450902576885</v>
      </c>
      <c r="AS9" s="118">
        <f t="shared" si="13"/>
        <v>-935.68300717326974</v>
      </c>
      <c r="AT9" s="118">
        <f t="shared" si="14"/>
        <v>1820.5144910200554</v>
      </c>
      <c r="AU9" s="14">
        <f t="shared" si="15"/>
        <v>0.13934426229508196</v>
      </c>
      <c r="AV9" s="14">
        <f t="shared" si="16"/>
        <v>0.277393336107288</v>
      </c>
      <c r="AX9" s="118">
        <v>121</v>
      </c>
      <c r="AY9" s="118">
        <v>2341</v>
      </c>
      <c r="AZ9" s="118">
        <v>2339</v>
      </c>
      <c r="BB9" s="118"/>
      <c r="BC9" s="118"/>
      <c r="BE9" s="118"/>
      <c r="BF9" s="118"/>
      <c r="BG9" s="118"/>
      <c r="BH9" s="118"/>
      <c r="BI9" s="118">
        <v>33</v>
      </c>
      <c r="BJ9" s="118">
        <v>269</v>
      </c>
      <c r="BK9" s="118">
        <v>243</v>
      </c>
      <c r="BL9" s="117">
        <v>3.9</v>
      </c>
      <c r="BM9" s="117">
        <v>12.5</v>
      </c>
      <c r="BN9" s="117">
        <v>158</v>
      </c>
      <c r="BO9" s="117">
        <v>321</v>
      </c>
      <c r="BP9" s="117">
        <v>32</v>
      </c>
      <c r="BQ9" s="117">
        <v>108</v>
      </c>
      <c r="BR9" s="14">
        <v>15</v>
      </c>
      <c r="BS9" s="14">
        <v>4.0999999999999996</v>
      </c>
      <c r="BT9" s="117">
        <v>9.4</v>
      </c>
      <c r="BU9" s="14">
        <v>1.25</v>
      </c>
      <c r="BV9" s="14">
        <v>6.6</v>
      </c>
      <c r="BW9" s="14">
        <v>1.1499999999999999</v>
      </c>
      <c r="BX9" s="14">
        <v>2.8</v>
      </c>
      <c r="BY9" s="14">
        <v>0.34</v>
      </c>
      <c r="BZ9" s="14">
        <v>2.4</v>
      </c>
      <c r="CA9" s="14">
        <v>0.36</v>
      </c>
      <c r="CB9" s="117">
        <v>5.3</v>
      </c>
      <c r="CC9" s="117">
        <v>19</v>
      </c>
      <c r="CD9" s="118">
        <v>8.3000000000000007</v>
      </c>
      <c r="CE9" s="118"/>
      <c r="CF9" s="118"/>
      <c r="CG9" s="22">
        <f t="shared" si="17"/>
        <v>509.67741935483872</v>
      </c>
      <c r="CH9" s="22">
        <f t="shared" si="18"/>
        <v>397.27722772277224</v>
      </c>
      <c r="CI9" s="22">
        <f t="shared" si="19"/>
        <v>262.29508196721309</v>
      </c>
      <c r="CJ9" s="22">
        <f t="shared" si="20"/>
        <v>180</v>
      </c>
      <c r="CK9" s="22">
        <f t="shared" si="72"/>
        <v>76.92307692307692</v>
      </c>
      <c r="CL9" s="22">
        <f t="shared" si="21"/>
        <v>55.405405405405403</v>
      </c>
      <c r="CM9" s="22">
        <f t="shared" si="22"/>
        <v>36.293436293436294</v>
      </c>
      <c r="CN9" s="22">
        <f t="shared" si="23"/>
        <v>26.371308016877638</v>
      </c>
      <c r="CO9" s="22">
        <f t="shared" si="24"/>
        <v>20.496894409937887</v>
      </c>
      <c r="CP9" s="22">
        <f t="shared" si="25"/>
        <v>16.016713091922004</v>
      </c>
      <c r="CQ9" s="22">
        <f t="shared" si="26"/>
        <v>13.333333333333332</v>
      </c>
      <c r="CR9" s="22">
        <f t="shared" si="27"/>
        <v>10.493827160493829</v>
      </c>
      <c r="CS9" s="22">
        <f t="shared" si="28"/>
        <v>11.483253588516746</v>
      </c>
      <c r="CT9" s="22">
        <f t="shared" si="29"/>
        <v>11.25</v>
      </c>
      <c r="CU9" s="22">
        <f t="shared" si="30"/>
        <v>9.6255144032921809</v>
      </c>
      <c r="CV9" s="117">
        <f t="shared" si="31"/>
        <v>14.80379746835443</v>
      </c>
      <c r="CW9" s="22">
        <f t="shared" si="32"/>
        <v>0.65020576131687247</v>
      </c>
      <c r="CX9" s="20">
        <f t="shared" si="33"/>
        <v>64.144032921810705</v>
      </c>
      <c r="CY9" s="22">
        <f t="shared" si="34"/>
        <v>60.566037735849058</v>
      </c>
      <c r="CZ9" s="22">
        <f t="shared" si="35"/>
        <v>29.277108433734938</v>
      </c>
      <c r="DA9" s="22">
        <f t="shared" si="36"/>
        <v>8.0666666666666664</v>
      </c>
      <c r="DB9" s="22">
        <f t="shared" si="37"/>
        <v>1.1069958847736625</v>
      </c>
      <c r="DC9" s="22">
        <f t="shared" si="38"/>
        <v>123.10526315789474</v>
      </c>
      <c r="DD9" s="22">
        <f t="shared" ref="DD9:DD33" si="78">CC9/BM9</f>
        <v>1.52</v>
      </c>
      <c r="DE9" s="22">
        <f t="shared" ref="DE9:DE33" si="79">BM9/BZ9</f>
        <v>5.2083333333333339</v>
      </c>
      <c r="DF9" s="22">
        <f t="shared" si="39"/>
        <v>7.916666666666667</v>
      </c>
      <c r="DG9" s="19">
        <f t="shared" si="40"/>
        <v>7.3636363636363633</v>
      </c>
      <c r="DH9" s="20">
        <f t="shared" si="41"/>
        <v>267.97594936708862</v>
      </c>
      <c r="DI9" s="19">
        <f t="shared" si="42"/>
        <v>1.6055087853782248</v>
      </c>
      <c r="DJ9" s="22">
        <f t="shared" si="43"/>
        <v>438.88888888888891</v>
      </c>
      <c r="DK9" s="22">
        <f t="shared" si="44"/>
        <v>45.304659498207883</v>
      </c>
      <c r="DL9" s="22">
        <f t="shared" si="45"/>
        <v>6.6258064516129034</v>
      </c>
      <c r="DM9" s="22">
        <f t="shared" si="46"/>
        <v>65.833333333333343</v>
      </c>
      <c r="DN9" s="22">
        <f t="shared" si="47"/>
        <v>6.25</v>
      </c>
      <c r="DO9" s="22">
        <f t="shared" si="48"/>
        <v>3.6111111111111108E-2</v>
      </c>
      <c r="DP9" s="20">
        <f t="shared" si="49"/>
        <v>975.41666666666674</v>
      </c>
      <c r="DQ9" s="22">
        <f t="shared" si="50"/>
        <v>21.675925925925927</v>
      </c>
      <c r="DR9" s="22">
        <f t="shared" si="51"/>
        <v>44.305643133924136</v>
      </c>
      <c r="DS9" s="19">
        <f t="shared" si="52"/>
        <v>1.0485997947809838</v>
      </c>
      <c r="DT9" s="23">
        <f t="shared" si="53"/>
        <v>4.2716787697565144E-4</v>
      </c>
      <c r="DU9" s="22">
        <f t="shared" si="54"/>
        <v>8.1515151515151523</v>
      </c>
      <c r="DV9" s="22">
        <f t="shared" ref="DV9:DV33" si="80">BK9/BM9</f>
        <v>19.440000000000001</v>
      </c>
      <c r="DW9" s="22">
        <f t="shared" si="55"/>
        <v>0.85751472068134538</v>
      </c>
      <c r="DX9" s="22">
        <f t="shared" si="56"/>
        <v>90.334572490706321</v>
      </c>
      <c r="DY9" s="22">
        <f t="shared" si="57"/>
        <v>7.0631970260223049</v>
      </c>
      <c r="DZ9" s="19">
        <f t="shared" si="58"/>
        <v>1.1641801431656999E-2</v>
      </c>
      <c r="EA9" s="23"/>
      <c r="EB9" s="19">
        <f t="shared" si="59"/>
        <v>7.8189300411522639E-2</v>
      </c>
      <c r="EC9" s="19">
        <f t="shared" si="60"/>
        <v>0.11401748782764719</v>
      </c>
      <c r="ED9" s="19"/>
      <c r="EE9" s="19">
        <f t="shared" si="61"/>
        <v>36.943575249823354</v>
      </c>
      <c r="EF9" s="19">
        <f t="shared" si="62"/>
        <v>2.624406984960129</v>
      </c>
      <c r="EG9" s="19">
        <f t="shared" si="63"/>
        <v>20.086807307964062</v>
      </c>
      <c r="EH9" s="19">
        <f t="shared" si="64"/>
        <v>12.516402543656</v>
      </c>
      <c r="EI9" s="19">
        <f t="shared" si="65"/>
        <v>0.27253457151509031</v>
      </c>
      <c r="EJ9" s="19">
        <f t="shared" si="66"/>
        <v>3.9366104774401935</v>
      </c>
      <c r="EK9" s="19">
        <f t="shared" si="67"/>
        <v>11.507015241748258</v>
      </c>
      <c r="EL9" s="19">
        <f t="shared" si="68"/>
        <v>5.5516301604925804</v>
      </c>
      <c r="EM9" s="19">
        <f t="shared" si="69"/>
        <v>5.1478752397294834</v>
      </c>
      <c r="EN9" s="19">
        <f t="shared" si="70"/>
        <v>1.4131422226708388</v>
      </c>
      <c r="EO9" s="19">
        <f t="shared" si="71"/>
        <v>100.00000000000001</v>
      </c>
      <c r="EP9" s="19"/>
    </row>
    <row r="10" spans="1:178">
      <c r="A10" s="1" t="s">
        <v>45</v>
      </c>
      <c r="B10" s="36" t="s">
        <v>60</v>
      </c>
      <c r="C10" s="1">
        <v>1</v>
      </c>
      <c r="D10" s="1" t="s">
        <v>43</v>
      </c>
      <c r="E10" s="1" t="s">
        <v>59</v>
      </c>
      <c r="F10" s="2" t="s">
        <v>61</v>
      </c>
      <c r="G10" s="14">
        <v>38.700000000000003</v>
      </c>
      <c r="H10" s="14">
        <v>2.8</v>
      </c>
      <c r="I10" s="14">
        <v>15.5</v>
      </c>
      <c r="J10" s="14">
        <v>13.2</v>
      </c>
      <c r="K10" s="14">
        <v>0.28000000000000003</v>
      </c>
      <c r="L10" s="14">
        <v>4</v>
      </c>
      <c r="M10" s="14">
        <v>12.1</v>
      </c>
      <c r="N10" s="14">
        <v>5.6</v>
      </c>
      <c r="O10" s="14">
        <v>5.3</v>
      </c>
      <c r="P10" s="14">
        <v>1.5</v>
      </c>
      <c r="Q10" s="14"/>
      <c r="R10" s="14"/>
      <c r="S10" s="15">
        <f t="shared" si="0"/>
        <v>98.97999999999999</v>
      </c>
      <c r="U10" s="86">
        <v>0.70465800000000001</v>
      </c>
      <c r="V10" s="86">
        <v>0.51266699999999998</v>
      </c>
      <c r="W10" s="14">
        <v>19.68</v>
      </c>
      <c r="X10" s="14">
        <v>15.68</v>
      </c>
      <c r="Y10" s="14">
        <v>39.68</v>
      </c>
      <c r="Z10" s="14">
        <f t="shared" si="73"/>
        <v>2.0162601626016259</v>
      </c>
      <c r="AA10" s="14">
        <f t="shared" si="74"/>
        <v>0.7967479674796748</v>
      </c>
      <c r="AB10" s="14">
        <f t="shared" si="75"/>
        <v>5.568799999999996</v>
      </c>
      <c r="AC10" s="14">
        <f t="shared" si="76"/>
        <v>25.987999999999545</v>
      </c>
      <c r="AD10" s="14"/>
      <c r="AF10" s="19">
        <f t="shared" si="1"/>
        <v>0.41390637609867831</v>
      </c>
      <c r="AG10" s="20">
        <f t="shared" si="2"/>
        <v>16786</v>
      </c>
      <c r="AH10" s="20">
        <f t="shared" si="3"/>
        <v>44000.6</v>
      </c>
      <c r="AI10" s="20">
        <f t="shared" si="77"/>
        <v>6546</v>
      </c>
      <c r="AJ10" s="19">
        <f t="shared" si="4"/>
        <v>10.899999999999999</v>
      </c>
      <c r="AK10" s="19">
        <f t="shared" si="5"/>
        <v>0.94642857142857151</v>
      </c>
      <c r="AL10" s="19">
        <f t="shared" si="6"/>
        <v>1.0566037735849056</v>
      </c>
      <c r="AM10" s="19">
        <f t="shared" si="7"/>
        <v>0.78064516129032258</v>
      </c>
      <c r="AN10" s="19">
        <f t="shared" si="8"/>
        <v>0.96444290273584554</v>
      </c>
      <c r="AO10" s="118">
        <f t="shared" si="9"/>
        <v>-893.51341153292378</v>
      </c>
      <c r="AP10" s="118">
        <f t="shared" si="10"/>
        <v>1815.6507771039674</v>
      </c>
      <c r="AQ10" s="19">
        <f t="shared" si="11"/>
        <v>0.41950758558036139</v>
      </c>
      <c r="AR10" s="19">
        <f t="shared" si="12"/>
        <v>0.96444290273584554</v>
      </c>
      <c r="AS10" s="118">
        <f t="shared" si="13"/>
        <v>-893.51341153292378</v>
      </c>
      <c r="AT10" s="118">
        <f t="shared" si="14"/>
        <v>1815.6507771039674</v>
      </c>
      <c r="AU10" s="14">
        <f t="shared" si="15"/>
        <v>0.13695090439276483</v>
      </c>
      <c r="AV10" s="14">
        <f t="shared" si="16"/>
        <v>0.37010341757413867</v>
      </c>
      <c r="AX10" s="118">
        <v>129</v>
      </c>
      <c r="AY10" s="118">
        <v>2481</v>
      </c>
      <c r="AZ10" s="118">
        <v>2436</v>
      </c>
      <c r="BB10" s="118"/>
      <c r="BC10" s="118"/>
      <c r="BE10" s="118"/>
      <c r="BF10" s="118"/>
      <c r="BG10" s="118"/>
      <c r="BH10" s="118"/>
      <c r="BI10" s="118">
        <v>34</v>
      </c>
      <c r="BJ10" s="118">
        <v>284</v>
      </c>
      <c r="BK10" s="118">
        <v>256</v>
      </c>
      <c r="BL10" s="117">
        <v>4</v>
      </c>
      <c r="BM10" s="117">
        <v>13.1</v>
      </c>
      <c r="BN10" s="117">
        <v>167</v>
      </c>
      <c r="BO10" s="117">
        <v>330</v>
      </c>
      <c r="BP10" s="117">
        <v>33</v>
      </c>
      <c r="BQ10" s="117">
        <v>112</v>
      </c>
      <c r="BR10" s="14">
        <v>16</v>
      </c>
      <c r="BS10" s="14">
        <v>4.3</v>
      </c>
      <c r="BT10" s="117">
        <v>10.5</v>
      </c>
      <c r="BU10" s="14">
        <v>1.34</v>
      </c>
      <c r="BV10" s="14">
        <v>6.9</v>
      </c>
      <c r="BW10" s="14">
        <v>1.19</v>
      </c>
      <c r="BX10" s="14">
        <v>2.9</v>
      </c>
      <c r="BY10" s="14">
        <v>0.34</v>
      </c>
      <c r="BZ10" s="14">
        <v>2.4</v>
      </c>
      <c r="CA10" s="14">
        <v>0.35</v>
      </c>
      <c r="CB10" s="117">
        <v>5.4</v>
      </c>
      <c r="CC10" s="117">
        <v>20</v>
      </c>
      <c r="CD10" s="118">
        <v>8.6</v>
      </c>
      <c r="CE10" s="118"/>
      <c r="CF10" s="118"/>
      <c r="CG10" s="22">
        <f t="shared" si="17"/>
        <v>538.70967741935488</v>
      </c>
      <c r="CH10" s="22">
        <f t="shared" si="18"/>
        <v>408.41584158415839</v>
      </c>
      <c r="CI10" s="22">
        <f t="shared" si="19"/>
        <v>270.49180327868851</v>
      </c>
      <c r="CJ10" s="22">
        <f t="shared" si="20"/>
        <v>186.66666666666669</v>
      </c>
      <c r="CK10" s="22">
        <f t="shared" si="72"/>
        <v>82.051282051282044</v>
      </c>
      <c r="CL10" s="22">
        <f t="shared" si="21"/>
        <v>58.108108108108105</v>
      </c>
      <c r="CM10" s="22">
        <f t="shared" si="22"/>
        <v>40.54054054054054</v>
      </c>
      <c r="CN10" s="22">
        <f t="shared" si="23"/>
        <v>28.270042194092831</v>
      </c>
      <c r="CO10" s="22">
        <f t="shared" si="24"/>
        <v>21.428571428571431</v>
      </c>
      <c r="CP10" s="22">
        <f t="shared" si="25"/>
        <v>16.573816155988858</v>
      </c>
      <c r="CQ10" s="22">
        <f t="shared" si="26"/>
        <v>13.80952380952381</v>
      </c>
      <c r="CR10" s="22">
        <f t="shared" si="27"/>
        <v>10.493827160493829</v>
      </c>
      <c r="CS10" s="22">
        <f t="shared" si="28"/>
        <v>11.483253588516746</v>
      </c>
      <c r="CT10" s="22">
        <f t="shared" si="29"/>
        <v>10.937499999999998</v>
      </c>
      <c r="CU10" s="22">
        <f t="shared" si="30"/>
        <v>9.515625</v>
      </c>
      <c r="CV10" s="117">
        <f t="shared" si="31"/>
        <v>14.58682634730539</v>
      </c>
      <c r="CW10" s="22">
        <f t="shared" si="32"/>
        <v>0.65234375</v>
      </c>
      <c r="CX10" s="20">
        <f t="shared" si="33"/>
        <v>65.5703125</v>
      </c>
      <c r="CY10" s="22">
        <f t="shared" si="34"/>
        <v>61.111111111111107</v>
      </c>
      <c r="CZ10" s="22">
        <f t="shared" si="35"/>
        <v>29.767441860465116</v>
      </c>
      <c r="DA10" s="22">
        <f t="shared" si="36"/>
        <v>8.0625</v>
      </c>
      <c r="DB10" s="22">
        <f t="shared" si="37"/>
        <v>1.109375</v>
      </c>
      <c r="DC10" s="22">
        <f t="shared" si="38"/>
        <v>121.8</v>
      </c>
      <c r="DD10" s="22">
        <f t="shared" si="78"/>
        <v>1.5267175572519085</v>
      </c>
      <c r="DE10" s="22">
        <f t="shared" si="79"/>
        <v>5.458333333333333</v>
      </c>
      <c r="DF10" s="22">
        <f t="shared" si="39"/>
        <v>8.3333333333333339</v>
      </c>
      <c r="DG10" s="19">
        <f t="shared" si="40"/>
        <v>7.5294117647058822</v>
      </c>
      <c r="DH10" s="20">
        <f t="shared" si="41"/>
        <v>263.47664670658679</v>
      </c>
      <c r="DI10" s="19">
        <f t="shared" si="42"/>
        <v>1.6299840395446537</v>
      </c>
      <c r="DJ10" s="22">
        <f t="shared" si="43"/>
        <v>477.14285714285717</v>
      </c>
      <c r="DK10" s="22">
        <f t="shared" si="44"/>
        <v>49.253456221198171</v>
      </c>
      <c r="DL10" s="22">
        <f t="shared" si="45"/>
        <v>6.5655241935483879</v>
      </c>
      <c r="DM10" s="22">
        <f t="shared" si="46"/>
        <v>69.583333333333343</v>
      </c>
      <c r="DN10" s="22">
        <f t="shared" si="47"/>
        <v>6.666666666666667</v>
      </c>
      <c r="DO10" s="22">
        <f t="shared" si="48"/>
        <v>3.5714285714285712E-2</v>
      </c>
      <c r="DP10" s="20">
        <f t="shared" si="49"/>
        <v>1033.75</v>
      </c>
      <c r="DQ10" s="22">
        <f t="shared" si="50"/>
        <v>22.151785714285715</v>
      </c>
      <c r="DR10" s="22">
        <f t="shared" si="51"/>
        <v>43.016919934195663</v>
      </c>
      <c r="DS10" s="19">
        <f t="shared" si="52"/>
        <v>1.0075098081475502</v>
      </c>
      <c r="DT10" s="23">
        <f t="shared" si="53"/>
        <v>4.0306328093510683E-4</v>
      </c>
      <c r="DU10" s="22">
        <f t="shared" si="54"/>
        <v>8.3529411764705888</v>
      </c>
      <c r="DV10" s="22">
        <f t="shared" si="80"/>
        <v>19.541984732824428</v>
      </c>
      <c r="DW10" s="22">
        <f t="shared" si="55"/>
        <v>0.84682935610041188</v>
      </c>
      <c r="DX10" s="22">
        <f t="shared" si="56"/>
        <v>90.140845070422529</v>
      </c>
      <c r="DY10" s="22">
        <f t="shared" si="57"/>
        <v>7.042253521126761</v>
      </c>
      <c r="DZ10" s="19">
        <f t="shared" si="58"/>
        <v>1.1402073010894114E-2</v>
      </c>
      <c r="EA10" s="23"/>
      <c r="EB10" s="19">
        <f t="shared" si="59"/>
        <v>7.8125E-2</v>
      </c>
      <c r="EC10" s="19">
        <f t="shared" si="60"/>
        <v>0.11282437167108537</v>
      </c>
      <c r="ED10" s="19"/>
      <c r="EE10" s="19">
        <f t="shared" si="61"/>
        <v>39.098807839967677</v>
      </c>
      <c r="EF10" s="19">
        <f t="shared" si="62"/>
        <v>2.8288543140028293</v>
      </c>
      <c r="EG10" s="19">
        <f t="shared" si="63"/>
        <v>15.659729238229946</v>
      </c>
      <c r="EH10" s="19">
        <f t="shared" si="64"/>
        <v>13.336027480299052</v>
      </c>
      <c r="EI10" s="19">
        <f t="shared" si="65"/>
        <v>0.28288543140028294</v>
      </c>
      <c r="EJ10" s="19">
        <f t="shared" si="66"/>
        <v>4.0412204485754701</v>
      </c>
      <c r="EK10" s="19">
        <f t="shared" si="67"/>
        <v>12.224691856940797</v>
      </c>
      <c r="EL10" s="19">
        <f t="shared" si="68"/>
        <v>5.6577086280056585</v>
      </c>
      <c r="EM10" s="19">
        <f t="shared" si="69"/>
        <v>5.3546170943624984</v>
      </c>
      <c r="EN10" s="19">
        <f t="shared" si="70"/>
        <v>1.5154576682158014</v>
      </c>
      <c r="EO10" s="19">
        <f t="shared" si="71"/>
        <v>100.00000000000003</v>
      </c>
      <c r="EP10" s="19"/>
    </row>
    <row r="11" spans="1:178">
      <c r="A11" s="1" t="s">
        <v>45</v>
      </c>
      <c r="B11" s="36" t="s">
        <v>60</v>
      </c>
      <c r="C11" s="1">
        <v>1</v>
      </c>
      <c r="D11" s="1" t="s">
        <v>43</v>
      </c>
      <c r="E11" s="1" t="s">
        <v>59</v>
      </c>
      <c r="F11" s="2" t="s">
        <v>61</v>
      </c>
      <c r="G11" s="14">
        <v>38.9</v>
      </c>
      <c r="H11" s="14">
        <v>2.8</v>
      </c>
      <c r="I11" s="14">
        <v>15</v>
      </c>
      <c r="J11" s="14">
        <v>13.3</v>
      </c>
      <c r="K11" s="14">
        <v>0.28999999999999998</v>
      </c>
      <c r="L11" s="14">
        <v>4.0999999999999996</v>
      </c>
      <c r="M11" s="14">
        <v>12.2</v>
      </c>
      <c r="N11" s="14">
        <v>6</v>
      </c>
      <c r="O11" s="14">
        <v>5.6</v>
      </c>
      <c r="P11" s="14">
        <v>1.4</v>
      </c>
      <c r="Q11" s="14"/>
      <c r="R11" s="14"/>
      <c r="S11" s="15">
        <f t="shared" si="0"/>
        <v>99.59</v>
      </c>
      <c r="U11" s="86">
        <v>0.70467400000000002</v>
      </c>
      <c r="V11" s="86">
        <v>0.51269799999999999</v>
      </c>
      <c r="W11" s="14">
        <v>19.68</v>
      </c>
      <c r="X11" s="14">
        <v>15.68</v>
      </c>
      <c r="Y11" s="14">
        <v>39.65</v>
      </c>
      <c r="Z11" s="14">
        <f t="shared" si="73"/>
        <v>2.0147357723577235</v>
      </c>
      <c r="AA11" s="14">
        <f t="shared" si="74"/>
        <v>0.7967479674796748</v>
      </c>
      <c r="AB11" s="14">
        <f t="shared" si="75"/>
        <v>5.568799999999996</v>
      </c>
      <c r="AC11" s="14">
        <f t="shared" si="76"/>
        <v>22.987999999999431</v>
      </c>
      <c r="AD11" s="14"/>
      <c r="AF11" s="19">
        <f t="shared" si="1"/>
        <v>0.41807169058520421</v>
      </c>
      <c r="AG11" s="20">
        <f t="shared" si="2"/>
        <v>16786</v>
      </c>
      <c r="AH11" s="20">
        <f t="shared" si="3"/>
        <v>46491.199999999997</v>
      </c>
      <c r="AI11" s="20">
        <f t="shared" si="77"/>
        <v>6109.5999999999995</v>
      </c>
      <c r="AJ11" s="19">
        <f t="shared" si="4"/>
        <v>11.6</v>
      </c>
      <c r="AK11" s="19">
        <f t="shared" si="5"/>
        <v>0.93333333333333324</v>
      </c>
      <c r="AL11" s="19">
        <f t="shared" si="6"/>
        <v>1.0714285714285714</v>
      </c>
      <c r="AM11" s="19">
        <f t="shared" si="7"/>
        <v>0.81333333333333335</v>
      </c>
      <c r="AN11" s="19">
        <f t="shared" si="8"/>
        <v>1.0621064722611022</v>
      </c>
      <c r="AO11" s="118">
        <f t="shared" si="9"/>
        <v>-1088.8456678751411</v>
      </c>
      <c r="AP11" s="118">
        <f t="shared" si="10"/>
        <v>1810.4078240870649</v>
      </c>
      <c r="AQ11" s="19">
        <f t="shared" si="11"/>
        <v>0.39357038040696751</v>
      </c>
      <c r="AR11" s="19">
        <f t="shared" si="12"/>
        <v>1.0621064722611022</v>
      </c>
      <c r="AS11" s="118">
        <f t="shared" si="13"/>
        <v>-1088.8456678751411</v>
      </c>
      <c r="AT11" s="118">
        <f t="shared" si="14"/>
        <v>1810.4078240870649</v>
      </c>
      <c r="AU11" s="14">
        <f t="shared" si="15"/>
        <v>0.14395886889460155</v>
      </c>
      <c r="AV11" s="14">
        <f t="shared" si="16"/>
        <v>0.4040877565463552</v>
      </c>
      <c r="AX11" s="118">
        <v>160</v>
      </c>
      <c r="AY11" s="118">
        <v>2820</v>
      </c>
      <c r="AZ11" s="118">
        <v>3296</v>
      </c>
      <c r="BB11" s="118"/>
      <c r="BC11" s="118"/>
      <c r="BE11" s="118"/>
      <c r="BF11" s="118"/>
      <c r="BG11" s="118"/>
      <c r="BH11" s="118"/>
      <c r="BI11" s="118">
        <v>46</v>
      </c>
      <c r="BJ11" s="118">
        <v>327</v>
      </c>
      <c r="BK11" s="118">
        <v>327</v>
      </c>
      <c r="BL11" s="117">
        <v>4.4000000000000004</v>
      </c>
      <c r="BM11" s="117">
        <v>23</v>
      </c>
      <c r="BN11" s="117">
        <v>212</v>
      </c>
      <c r="BO11" s="117">
        <v>479</v>
      </c>
      <c r="BP11" s="117">
        <v>44</v>
      </c>
      <c r="BQ11" s="117">
        <v>146</v>
      </c>
      <c r="BR11" s="14">
        <v>21</v>
      </c>
      <c r="BS11" s="14">
        <v>5.5</v>
      </c>
      <c r="BT11" s="117">
        <v>12.7</v>
      </c>
      <c r="BU11" s="14">
        <v>1.73</v>
      </c>
      <c r="BV11" s="14">
        <v>9</v>
      </c>
      <c r="BW11" s="14">
        <v>1.7</v>
      </c>
      <c r="BX11" s="14">
        <v>4.0999999999999996</v>
      </c>
      <c r="BY11" s="14">
        <v>0.56999999999999995</v>
      </c>
      <c r="BZ11" s="14">
        <v>3.4</v>
      </c>
      <c r="CA11" s="14">
        <v>0.5</v>
      </c>
      <c r="CB11" s="117">
        <v>6.3</v>
      </c>
      <c r="CC11" s="117">
        <v>28</v>
      </c>
      <c r="CD11" s="118">
        <v>10.3</v>
      </c>
      <c r="CE11" s="118"/>
      <c r="CF11" s="118"/>
      <c r="CG11" s="22">
        <f t="shared" si="17"/>
        <v>683.87096774193549</v>
      </c>
      <c r="CH11" s="22">
        <f t="shared" si="18"/>
        <v>592.82178217821775</v>
      </c>
      <c r="CI11" s="22">
        <f t="shared" si="19"/>
        <v>360.65573770491807</v>
      </c>
      <c r="CJ11" s="22">
        <f t="shared" si="20"/>
        <v>243.33333333333334</v>
      </c>
      <c r="CK11" s="22">
        <f t="shared" si="72"/>
        <v>107.69230769230769</v>
      </c>
      <c r="CL11" s="22">
        <f t="shared" si="21"/>
        <v>74.324324324324323</v>
      </c>
      <c r="CM11" s="22">
        <f t="shared" si="22"/>
        <v>49.034749034749034</v>
      </c>
      <c r="CN11" s="22">
        <f t="shared" si="23"/>
        <v>36.497890295358651</v>
      </c>
      <c r="CO11" s="22">
        <f t="shared" si="24"/>
        <v>27.950310559006212</v>
      </c>
      <c r="CP11" s="22">
        <f t="shared" si="25"/>
        <v>23.676880222841223</v>
      </c>
      <c r="CQ11" s="22">
        <f t="shared" si="26"/>
        <v>19.523809523809522</v>
      </c>
      <c r="CR11" s="22">
        <f t="shared" si="27"/>
        <v>17.592592592592592</v>
      </c>
      <c r="CS11" s="22">
        <f t="shared" si="28"/>
        <v>16.267942583732058</v>
      </c>
      <c r="CT11" s="22">
        <f t="shared" si="29"/>
        <v>15.625</v>
      </c>
      <c r="CU11" s="22">
        <f t="shared" si="30"/>
        <v>10.079510703363914</v>
      </c>
      <c r="CV11" s="117">
        <f t="shared" si="31"/>
        <v>15.547169811320755</v>
      </c>
      <c r="CW11" s="22">
        <f t="shared" si="32"/>
        <v>0.64831804281345562</v>
      </c>
      <c r="CX11" s="20">
        <f t="shared" si="33"/>
        <v>51.333333333333336</v>
      </c>
      <c r="CY11" s="22">
        <f t="shared" si="34"/>
        <v>76.031746031746039</v>
      </c>
      <c r="CZ11" s="22">
        <f t="shared" si="35"/>
        <v>31.747572815533978</v>
      </c>
      <c r="DA11" s="22">
        <f t="shared" si="36"/>
        <v>7.6190476190476186</v>
      </c>
      <c r="DB11" s="22">
        <f t="shared" si="37"/>
        <v>1</v>
      </c>
      <c r="DC11" s="22">
        <f t="shared" si="38"/>
        <v>117.71428571428571</v>
      </c>
      <c r="DD11" s="22">
        <f t="shared" si="78"/>
        <v>1.2173913043478262</v>
      </c>
      <c r="DE11" s="22">
        <f t="shared" si="79"/>
        <v>6.7647058823529411</v>
      </c>
      <c r="DF11" s="22">
        <f t="shared" si="39"/>
        <v>8.2352941176470598</v>
      </c>
      <c r="DG11" s="19">
        <f t="shared" si="40"/>
        <v>7.1086956521739131</v>
      </c>
      <c r="DH11" s="20">
        <f t="shared" si="41"/>
        <v>219.29811320754715</v>
      </c>
      <c r="DI11" s="19">
        <f t="shared" si="42"/>
        <v>1.8508263497823843</v>
      </c>
      <c r="DJ11" s="22">
        <f t="shared" si="43"/>
        <v>424</v>
      </c>
      <c r="DK11" s="22">
        <f t="shared" si="44"/>
        <v>43.767741935483869</v>
      </c>
      <c r="DL11" s="22">
        <f t="shared" si="45"/>
        <v>6.3502304147465436</v>
      </c>
      <c r="DM11" s="22">
        <f t="shared" si="46"/>
        <v>62.352941176470587</v>
      </c>
      <c r="DN11" s="22">
        <f t="shared" si="47"/>
        <v>6.1764705882352944</v>
      </c>
      <c r="DO11" s="22">
        <f t="shared" si="48"/>
        <v>3.0136986301369864E-2</v>
      </c>
      <c r="DP11" s="20">
        <f t="shared" si="49"/>
        <v>829.41176470588232</v>
      </c>
      <c r="DQ11" s="22">
        <f t="shared" si="50"/>
        <v>19.315068493150687</v>
      </c>
      <c r="DR11" s="22">
        <f t="shared" si="51"/>
        <v>38.80652798400326</v>
      </c>
      <c r="DS11" s="19">
        <f t="shared" si="52"/>
        <v>1.0227904155262504</v>
      </c>
      <c r="DT11" s="23">
        <f t="shared" si="53"/>
        <v>3.5460992907801421E-4</v>
      </c>
      <c r="DU11" s="22">
        <f t="shared" si="54"/>
        <v>7.1086956521739131</v>
      </c>
      <c r="DV11" s="22">
        <f t="shared" si="80"/>
        <v>14.217391304347826</v>
      </c>
      <c r="DW11" s="22">
        <f t="shared" si="55"/>
        <v>0.95635327269958492</v>
      </c>
      <c r="DX11" s="22">
        <f t="shared" si="56"/>
        <v>100</v>
      </c>
      <c r="DY11" s="22">
        <f t="shared" si="57"/>
        <v>8.5626911314984717</v>
      </c>
      <c r="DZ11" s="19">
        <f t="shared" si="58"/>
        <v>1.0326024644304056E-2</v>
      </c>
      <c r="EA11" s="23"/>
      <c r="EB11" s="19">
        <f t="shared" si="59"/>
        <v>8.5626911314984705E-2</v>
      </c>
      <c r="EC11" s="19">
        <f t="shared" si="60"/>
        <v>9.4617083720593048E-2</v>
      </c>
      <c r="ED11" s="19"/>
      <c r="EE11" s="19">
        <f t="shared" si="61"/>
        <v>39.060146601064361</v>
      </c>
      <c r="EF11" s="19">
        <f t="shared" si="62"/>
        <v>2.8115272617732705</v>
      </c>
      <c r="EG11" s="19">
        <f t="shared" si="63"/>
        <v>15.061753188071091</v>
      </c>
      <c r="EH11" s="19">
        <f t="shared" si="64"/>
        <v>13.354754493423034</v>
      </c>
      <c r="EI11" s="19">
        <f t="shared" si="65"/>
        <v>0.29119389496937437</v>
      </c>
      <c r="EJ11" s="19">
        <f t="shared" si="66"/>
        <v>4.1168792047394307</v>
      </c>
      <c r="EK11" s="19">
        <f t="shared" si="67"/>
        <v>12.250225926297821</v>
      </c>
      <c r="EL11" s="19">
        <f t="shared" si="68"/>
        <v>6.0247012752284368</v>
      </c>
      <c r="EM11" s="19">
        <f t="shared" si="69"/>
        <v>5.623054523546541</v>
      </c>
      <c r="EN11" s="19">
        <f t="shared" si="70"/>
        <v>1.4057636308866353</v>
      </c>
      <c r="EO11" s="19">
        <f t="shared" si="71"/>
        <v>99.999999999999986</v>
      </c>
      <c r="EP11" s="19"/>
    </row>
    <row r="12" spans="1:178">
      <c r="A12" s="1" t="s">
        <v>45</v>
      </c>
      <c r="B12" s="36" t="s">
        <v>60</v>
      </c>
      <c r="C12" s="1">
        <v>1</v>
      </c>
      <c r="D12" s="1" t="s">
        <v>43</v>
      </c>
      <c r="E12" s="1" t="s">
        <v>59</v>
      </c>
      <c r="F12" s="2" t="s">
        <v>61</v>
      </c>
      <c r="G12" s="14">
        <v>38.6</v>
      </c>
      <c r="H12" s="14">
        <v>2.8</v>
      </c>
      <c r="I12" s="14">
        <v>14.9</v>
      </c>
      <c r="J12" s="14">
        <v>13.1</v>
      </c>
      <c r="K12" s="14">
        <v>0.28999999999999998</v>
      </c>
      <c r="L12" s="14">
        <v>4.0999999999999996</v>
      </c>
      <c r="M12" s="14">
        <v>12.2</v>
      </c>
      <c r="N12" s="14">
        <v>5.7</v>
      </c>
      <c r="O12" s="14">
        <v>5.5</v>
      </c>
      <c r="P12" s="14">
        <v>1.4</v>
      </c>
      <c r="Q12" s="14"/>
      <c r="R12" s="14"/>
      <c r="S12" s="15">
        <f t="shared" si="0"/>
        <v>98.59</v>
      </c>
      <c r="U12" s="86">
        <v>0.70474499999999995</v>
      </c>
      <c r="V12" s="86">
        <v>0.512687</v>
      </c>
      <c r="W12" s="14">
        <v>19.690000000000001</v>
      </c>
      <c r="X12" s="14">
        <v>15.69</v>
      </c>
      <c r="Y12" s="14">
        <v>39.69</v>
      </c>
      <c r="Z12" s="14">
        <f t="shared" si="73"/>
        <v>2.0157440325038087</v>
      </c>
      <c r="AA12" s="14">
        <f t="shared" si="74"/>
        <v>0.79685119349923816</v>
      </c>
      <c r="AB12" s="14">
        <f t="shared" si="75"/>
        <v>6.4603999999999218</v>
      </c>
      <c r="AC12" s="14">
        <f t="shared" si="76"/>
        <v>25.778999999999286</v>
      </c>
      <c r="AD12" s="14"/>
      <c r="AF12" s="19">
        <f t="shared" si="1"/>
        <v>0.42176245012772257</v>
      </c>
      <c r="AG12" s="20">
        <f t="shared" si="2"/>
        <v>16786</v>
      </c>
      <c r="AH12" s="20">
        <f t="shared" si="3"/>
        <v>45661</v>
      </c>
      <c r="AI12" s="20">
        <f t="shared" si="77"/>
        <v>6109.5999999999995</v>
      </c>
      <c r="AJ12" s="19">
        <f t="shared" si="4"/>
        <v>11.2</v>
      </c>
      <c r="AK12" s="19">
        <f t="shared" si="5"/>
        <v>0.96491228070175439</v>
      </c>
      <c r="AL12" s="19">
        <f t="shared" si="6"/>
        <v>1.0363636363636364</v>
      </c>
      <c r="AM12" s="19">
        <f t="shared" si="7"/>
        <v>0.81879194630872476</v>
      </c>
      <c r="AN12" s="19">
        <f t="shared" si="8"/>
        <v>1.0288486748455308</v>
      </c>
      <c r="AO12" s="118">
        <f t="shared" si="9"/>
        <v>-985.91072964360967</v>
      </c>
      <c r="AP12" s="118">
        <f t="shared" si="10"/>
        <v>1826.7812135692222</v>
      </c>
      <c r="AQ12" s="19">
        <f t="shared" si="11"/>
        <v>0.39721816803580223</v>
      </c>
      <c r="AR12" s="19">
        <f t="shared" si="12"/>
        <v>1.0288486748455308</v>
      </c>
      <c r="AS12" s="118">
        <f t="shared" si="13"/>
        <v>-985.91072964360967</v>
      </c>
      <c r="AT12" s="118">
        <f t="shared" si="14"/>
        <v>1826.7812135692222</v>
      </c>
      <c r="AU12" s="14">
        <f t="shared" si="15"/>
        <v>0.14248704663212436</v>
      </c>
      <c r="AV12" s="14">
        <f t="shared" si="16"/>
        <v>0.39953547357471608</v>
      </c>
      <c r="AX12" s="118">
        <v>167</v>
      </c>
      <c r="AY12" s="118">
        <v>2913</v>
      </c>
      <c r="AZ12" s="118">
        <v>3172</v>
      </c>
      <c r="BB12" s="118"/>
      <c r="BC12" s="118"/>
      <c r="BE12" s="118"/>
      <c r="BF12" s="118"/>
      <c r="BG12" s="118"/>
      <c r="BH12" s="118"/>
      <c r="BI12" s="118">
        <v>51</v>
      </c>
      <c r="BJ12" s="118">
        <v>332</v>
      </c>
      <c r="BK12" s="118">
        <v>324</v>
      </c>
      <c r="BL12" s="117">
        <v>4.5</v>
      </c>
      <c r="BM12" s="117">
        <v>23</v>
      </c>
      <c r="BN12" s="117">
        <v>230</v>
      </c>
      <c r="BO12" s="117">
        <v>505</v>
      </c>
      <c r="BP12" s="117">
        <v>47</v>
      </c>
      <c r="BQ12" s="117">
        <v>159</v>
      </c>
      <c r="BR12" s="14">
        <v>22</v>
      </c>
      <c r="BS12" s="14">
        <v>6</v>
      </c>
      <c r="BT12" s="117">
        <v>13.5</v>
      </c>
      <c r="BU12" s="14">
        <v>1.94</v>
      </c>
      <c r="BV12" s="14">
        <v>9.8000000000000007</v>
      </c>
      <c r="BW12" s="14">
        <v>1.81</v>
      </c>
      <c r="BX12" s="14">
        <v>4.4000000000000004</v>
      </c>
      <c r="BY12" s="14">
        <v>0.61</v>
      </c>
      <c r="BZ12" s="14">
        <v>3.7</v>
      </c>
      <c r="CA12" s="14">
        <v>0.53</v>
      </c>
      <c r="CB12" s="117">
        <v>6.7</v>
      </c>
      <c r="CC12" s="117">
        <v>30</v>
      </c>
      <c r="CD12" s="118">
        <v>10.1</v>
      </c>
      <c r="CE12" s="118"/>
      <c r="CF12" s="118"/>
      <c r="CG12" s="22">
        <f t="shared" si="17"/>
        <v>741.9354838709678</v>
      </c>
      <c r="CH12" s="22">
        <f t="shared" si="18"/>
        <v>625</v>
      </c>
      <c r="CI12" s="22">
        <f t="shared" si="19"/>
        <v>385.24590163934425</v>
      </c>
      <c r="CJ12" s="22">
        <f t="shared" si="20"/>
        <v>265</v>
      </c>
      <c r="CK12" s="22">
        <f t="shared" si="72"/>
        <v>112.82051282051282</v>
      </c>
      <c r="CL12" s="22">
        <f t="shared" si="21"/>
        <v>81.081081081081081</v>
      </c>
      <c r="CM12" s="22">
        <f t="shared" si="22"/>
        <v>52.123552123552123</v>
      </c>
      <c r="CN12" s="22">
        <f t="shared" si="23"/>
        <v>40.928270042194093</v>
      </c>
      <c r="CO12" s="22">
        <f t="shared" si="24"/>
        <v>30.434782608695652</v>
      </c>
      <c r="CP12" s="22">
        <f t="shared" si="25"/>
        <v>25.208913649025071</v>
      </c>
      <c r="CQ12" s="22">
        <f t="shared" si="26"/>
        <v>20.952380952380956</v>
      </c>
      <c r="CR12" s="22">
        <f t="shared" si="27"/>
        <v>18.827160493827162</v>
      </c>
      <c r="CS12" s="22">
        <f t="shared" si="28"/>
        <v>17.703349282296653</v>
      </c>
      <c r="CT12" s="22">
        <f t="shared" si="29"/>
        <v>16.5625</v>
      </c>
      <c r="CU12" s="22">
        <f t="shared" si="30"/>
        <v>9.7901234567901234</v>
      </c>
      <c r="CV12" s="117">
        <f t="shared" si="31"/>
        <v>13.791304347826086</v>
      </c>
      <c r="CW12" s="22">
        <f t="shared" si="32"/>
        <v>0.70987654320987659</v>
      </c>
      <c r="CX12" s="20">
        <f t="shared" si="33"/>
        <v>51.808641975308639</v>
      </c>
      <c r="CY12" s="22">
        <f t="shared" si="34"/>
        <v>75.373134328358205</v>
      </c>
      <c r="CZ12" s="22">
        <f t="shared" si="35"/>
        <v>32.079207920792079</v>
      </c>
      <c r="DA12" s="22">
        <f t="shared" si="36"/>
        <v>7.5909090909090908</v>
      </c>
      <c r="DB12" s="22">
        <f t="shared" si="37"/>
        <v>1.0246913580246915</v>
      </c>
      <c r="DC12" s="22">
        <f t="shared" si="38"/>
        <v>105.73333333333333</v>
      </c>
      <c r="DD12" s="22">
        <f t="shared" si="78"/>
        <v>1.3043478260869565</v>
      </c>
      <c r="DE12" s="22">
        <f t="shared" si="79"/>
        <v>6.2162162162162158</v>
      </c>
      <c r="DF12" s="22">
        <f t="shared" si="39"/>
        <v>8.108108108108107</v>
      </c>
      <c r="DG12" s="19">
        <f t="shared" si="40"/>
        <v>6.3529411764705879</v>
      </c>
      <c r="DH12" s="20">
        <f t="shared" si="41"/>
        <v>198.52608695652174</v>
      </c>
      <c r="DI12" s="19">
        <f t="shared" si="42"/>
        <v>1.8686739249269873</v>
      </c>
      <c r="DJ12" s="22">
        <f t="shared" si="43"/>
        <v>433.96226415094338</v>
      </c>
      <c r="DK12" s="22">
        <f t="shared" si="44"/>
        <v>44.796104686549</v>
      </c>
      <c r="DL12" s="22">
        <f t="shared" si="45"/>
        <v>6.5762463343108513</v>
      </c>
      <c r="DM12" s="22">
        <f t="shared" si="46"/>
        <v>62.162162162162161</v>
      </c>
      <c r="DN12" s="22">
        <f t="shared" si="47"/>
        <v>5.9459459459459456</v>
      </c>
      <c r="DO12" s="22">
        <f t="shared" si="48"/>
        <v>2.8301886792452831E-2</v>
      </c>
      <c r="DP12" s="20">
        <f t="shared" si="49"/>
        <v>787.29729729729729</v>
      </c>
      <c r="DQ12" s="22">
        <f t="shared" si="50"/>
        <v>18.320754716981131</v>
      </c>
      <c r="DR12" s="22">
        <f t="shared" si="51"/>
        <v>37.986514634681996</v>
      </c>
      <c r="DS12" s="19">
        <f t="shared" si="52"/>
        <v>1.0573249821772481</v>
      </c>
      <c r="DT12" s="23">
        <f t="shared" si="53"/>
        <v>3.4328870580157915E-4</v>
      </c>
      <c r="DU12" s="22">
        <f t="shared" si="54"/>
        <v>6.5098039215686274</v>
      </c>
      <c r="DV12" s="22">
        <f t="shared" si="80"/>
        <v>14.086956521739131</v>
      </c>
      <c r="DW12" s="22">
        <f t="shared" si="55"/>
        <v>0.98092445150496377</v>
      </c>
      <c r="DX12" s="22">
        <f t="shared" si="56"/>
        <v>97.590361445783131</v>
      </c>
      <c r="DY12" s="22">
        <f t="shared" si="57"/>
        <v>9.0361445783132535</v>
      </c>
      <c r="DZ12" s="19">
        <f t="shared" si="58"/>
        <v>1.0097750753875437E-2</v>
      </c>
      <c r="EA12" s="23"/>
      <c r="EB12" s="19">
        <f t="shared" si="59"/>
        <v>9.2592592592592587E-2</v>
      </c>
      <c r="EC12" s="19">
        <f t="shared" si="60"/>
        <v>9.4820728643633556E-2</v>
      </c>
      <c r="ED12" s="19"/>
      <c r="EE12" s="19">
        <f t="shared" si="61"/>
        <v>39.152043817831419</v>
      </c>
      <c r="EF12" s="19">
        <f t="shared" si="62"/>
        <v>2.8400446292727457</v>
      </c>
      <c r="EG12" s="19">
        <f t="shared" si="63"/>
        <v>15.113094634344254</v>
      </c>
      <c r="EH12" s="19">
        <f t="shared" si="64"/>
        <v>13.287351658383203</v>
      </c>
      <c r="EI12" s="19">
        <f t="shared" si="65"/>
        <v>0.29414747946039149</v>
      </c>
      <c r="EJ12" s="19">
        <f t="shared" si="66"/>
        <v>4.1586367785779483</v>
      </c>
      <c r="EK12" s="19">
        <f t="shared" si="67"/>
        <v>12.374480170402677</v>
      </c>
      <c r="EL12" s="19">
        <f t="shared" si="68"/>
        <v>5.7815194238766603</v>
      </c>
      <c r="EM12" s="19">
        <f t="shared" si="69"/>
        <v>5.5786590932143216</v>
      </c>
      <c r="EN12" s="19">
        <f t="shared" si="70"/>
        <v>1.4200223146363729</v>
      </c>
      <c r="EO12" s="19">
        <f t="shared" si="71"/>
        <v>99.999999999999986</v>
      </c>
      <c r="EP12" s="19"/>
    </row>
    <row r="13" spans="1:178">
      <c r="A13" s="1" t="s">
        <v>45</v>
      </c>
      <c r="B13" s="36" t="s">
        <v>60</v>
      </c>
      <c r="C13" s="1">
        <v>1</v>
      </c>
      <c r="D13" s="1" t="s">
        <v>43</v>
      </c>
      <c r="E13" s="1" t="s">
        <v>59</v>
      </c>
      <c r="F13" s="2" t="s">
        <v>61</v>
      </c>
      <c r="G13" s="14">
        <v>38.200000000000003</v>
      </c>
      <c r="H13" s="14">
        <v>2.8</v>
      </c>
      <c r="I13" s="14">
        <v>16</v>
      </c>
      <c r="J13" s="14">
        <v>13.2</v>
      </c>
      <c r="K13" s="14">
        <v>0.28000000000000003</v>
      </c>
      <c r="L13" s="14">
        <v>4</v>
      </c>
      <c r="M13" s="14">
        <v>12.1</v>
      </c>
      <c r="N13" s="14">
        <v>5.9</v>
      </c>
      <c r="O13" s="14">
        <v>5.4</v>
      </c>
      <c r="P13" s="14">
        <v>1.4</v>
      </c>
      <c r="Q13" s="14"/>
      <c r="R13" s="14"/>
      <c r="S13" s="15">
        <f t="shared" si="0"/>
        <v>99.280000000000015</v>
      </c>
      <c r="U13" s="86">
        <v>0.70469199999999999</v>
      </c>
      <c r="V13" s="86">
        <v>0.51266400000000001</v>
      </c>
      <c r="W13" s="14">
        <v>19.690000000000001</v>
      </c>
      <c r="X13" s="14">
        <v>15.68</v>
      </c>
      <c r="Y13" s="14">
        <v>39.68</v>
      </c>
      <c r="Z13" s="14">
        <f t="shared" si="73"/>
        <v>2.0152361604875568</v>
      </c>
      <c r="AA13" s="14">
        <f t="shared" si="74"/>
        <v>0.79634332148298625</v>
      </c>
      <c r="AB13" s="14">
        <f t="shared" si="75"/>
        <v>5.4603999999999431</v>
      </c>
      <c r="AC13" s="14">
        <f t="shared" si="76"/>
        <v>24.778999999999485</v>
      </c>
      <c r="AD13" s="14"/>
      <c r="AF13" s="19">
        <f t="shared" si="1"/>
        <v>0.41390637609867831</v>
      </c>
      <c r="AG13" s="20">
        <f t="shared" si="2"/>
        <v>16786</v>
      </c>
      <c r="AH13" s="20">
        <f t="shared" si="3"/>
        <v>44830.8</v>
      </c>
      <c r="AI13" s="20">
        <f t="shared" si="77"/>
        <v>6109.5999999999995</v>
      </c>
      <c r="AJ13" s="19">
        <f t="shared" si="4"/>
        <v>11.3</v>
      </c>
      <c r="AK13" s="19">
        <f t="shared" si="5"/>
        <v>0.9152542372881356</v>
      </c>
      <c r="AL13" s="19">
        <f t="shared" si="6"/>
        <v>1.0925925925925926</v>
      </c>
      <c r="AM13" s="19">
        <f t="shared" si="7"/>
        <v>0.75625000000000009</v>
      </c>
      <c r="AN13" s="19">
        <f t="shared" si="8"/>
        <v>0.97191355132023283</v>
      </c>
      <c r="AO13" s="118">
        <f t="shared" si="9"/>
        <v>-1055.125957669527</v>
      </c>
      <c r="AP13" s="118">
        <f t="shared" si="10"/>
        <v>1820.0432180998853</v>
      </c>
      <c r="AQ13" s="19">
        <f t="shared" si="11"/>
        <v>0.42610043909072587</v>
      </c>
      <c r="AR13" s="19">
        <f t="shared" si="12"/>
        <v>0.97191355132023283</v>
      </c>
      <c r="AS13" s="118">
        <f t="shared" si="13"/>
        <v>-1055.125957669527</v>
      </c>
      <c r="AT13" s="118">
        <f t="shared" si="14"/>
        <v>1820.0432180998853</v>
      </c>
      <c r="AU13" s="14">
        <f t="shared" si="15"/>
        <v>0.14136125654450263</v>
      </c>
      <c r="AV13" s="14">
        <f t="shared" si="16"/>
        <v>0.36530254777070065</v>
      </c>
      <c r="AX13" s="118">
        <v>175</v>
      </c>
      <c r="AY13" s="118">
        <v>2917</v>
      </c>
      <c r="AZ13" s="118">
        <v>3127</v>
      </c>
      <c r="BB13" s="118"/>
      <c r="BC13" s="118"/>
      <c r="BE13" s="118"/>
      <c r="BF13" s="118"/>
      <c r="BG13" s="118"/>
      <c r="BH13" s="118"/>
      <c r="BI13" s="118">
        <v>54</v>
      </c>
      <c r="BJ13" s="118">
        <v>337</v>
      </c>
      <c r="BK13" s="118">
        <v>318</v>
      </c>
      <c r="BL13" s="117">
        <v>4.3</v>
      </c>
      <c r="BM13" s="117">
        <v>22</v>
      </c>
      <c r="BN13" s="117">
        <v>235</v>
      </c>
      <c r="BO13" s="117">
        <v>462</v>
      </c>
      <c r="BP13" s="117">
        <v>47</v>
      </c>
      <c r="BQ13" s="117">
        <v>153</v>
      </c>
      <c r="BR13" s="14">
        <v>22</v>
      </c>
      <c r="BS13" s="14">
        <v>5.6</v>
      </c>
      <c r="BT13" s="117">
        <v>14.5</v>
      </c>
      <c r="BU13" s="14">
        <v>1.92</v>
      </c>
      <c r="BV13" s="14">
        <v>9.9</v>
      </c>
      <c r="BW13" s="14">
        <v>1.8</v>
      </c>
      <c r="BX13" s="14">
        <v>4.5</v>
      </c>
      <c r="BY13" s="14">
        <v>0.64</v>
      </c>
      <c r="BZ13" s="14">
        <v>3.8</v>
      </c>
      <c r="CA13" s="14">
        <v>0.52</v>
      </c>
      <c r="CB13" s="117">
        <v>6.5</v>
      </c>
      <c r="CC13" s="117">
        <v>32</v>
      </c>
      <c r="CD13" s="118">
        <v>9.8000000000000007</v>
      </c>
      <c r="CE13" s="118"/>
      <c r="CF13" s="118"/>
      <c r="CG13" s="22">
        <f t="shared" si="17"/>
        <v>758.06451612903231</v>
      </c>
      <c r="CH13" s="22">
        <f t="shared" si="18"/>
        <v>571.78217821782175</v>
      </c>
      <c r="CI13" s="22">
        <f t="shared" si="19"/>
        <v>385.24590163934425</v>
      </c>
      <c r="CJ13" s="22">
        <f t="shared" si="20"/>
        <v>255</v>
      </c>
      <c r="CK13" s="22">
        <f t="shared" si="72"/>
        <v>112.82051282051282</v>
      </c>
      <c r="CL13" s="22">
        <f t="shared" si="21"/>
        <v>75.675675675675677</v>
      </c>
      <c r="CM13" s="22">
        <f t="shared" si="22"/>
        <v>55.984555984555982</v>
      </c>
      <c r="CN13" s="22">
        <f t="shared" si="23"/>
        <v>40.506329113924053</v>
      </c>
      <c r="CO13" s="22">
        <f t="shared" si="24"/>
        <v>30.745341614906831</v>
      </c>
      <c r="CP13" s="22">
        <f t="shared" si="25"/>
        <v>25.069637883008355</v>
      </c>
      <c r="CQ13" s="22">
        <f t="shared" si="26"/>
        <v>21.428571428571431</v>
      </c>
      <c r="CR13" s="22">
        <f t="shared" si="27"/>
        <v>19.753086419753089</v>
      </c>
      <c r="CS13" s="22">
        <f t="shared" si="28"/>
        <v>18.181818181818183</v>
      </c>
      <c r="CT13" s="22">
        <f t="shared" si="29"/>
        <v>16.25</v>
      </c>
      <c r="CU13" s="22">
        <f t="shared" si="30"/>
        <v>9.8333333333333339</v>
      </c>
      <c r="CV13" s="117">
        <f t="shared" si="31"/>
        <v>13.306382978723404</v>
      </c>
      <c r="CW13" s="22">
        <f t="shared" si="32"/>
        <v>0.73899371069182385</v>
      </c>
      <c r="CX13" s="20">
        <f t="shared" si="33"/>
        <v>52.786163522012579</v>
      </c>
      <c r="CY13" s="22">
        <f t="shared" si="34"/>
        <v>71.07692307692308</v>
      </c>
      <c r="CZ13" s="22">
        <f t="shared" si="35"/>
        <v>32.448979591836732</v>
      </c>
      <c r="DA13" s="22">
        <f t="shared" si="36"/>
        <v>7.9545454545454541</v>
      </c>
      <c r="DB13" s="22">
        <f t="shared" si="37"/>
        <v>1.0597484276729561</v>
      </c>
      <c r="DC13" s="22">
        <f t="shared" si="38"/>
        <v>97.71875</v>
      </c>
      <c r="DD13" s="22">
        <f t="shared" si="78"/>
        <v>1.4545454545454546</v>
      </c>
      <c r="DE13" s="22">
        <f t="shared" si="79"/>
        <v>5.7894736842105265</v>
      </c>
      <c r="DF13" s="22">
        <f t="shared" si="39"/>
        <v>8.4210526315789469</v>
      </c>
      <c r="DG13" s="19">
        <f t="shared" si="40"/>
        <v>5.8888888888888893</v>
      </c>
      <c r="DH13" s="20">
        <f t="shared" si="41"/>
        <v>190.76936170212767</v>
      </c>
      <c r="DI13" s="19">
        <f t="shared" si="42"/>
        <v>1.8790907263888537</v>
      </c>
      <c r="DJ13" s="22">
        <f t="shared" si="43"/>
        <v>451.92307692307691</v>
      </c>
      <c r="DK13" s="22">
        <f t="shared" si="44"/>
        <v>46.650124069478913</v>
      </c>
      <c r="DL13" s="22">
        <f t="shared" si="45"/>
        <v>6.7192082111436955</v>
      </c>
      <c r="DM13" s="22">
        <f t="shared" si="46"/>
        <v>61.842105263157897</v>
      </c>
      <c r="DN13" s="22">
        <f t="shared" si="47"/>
        <v>5.7894736842105265</v>
      </c>
      <c r="DO13" s="22">
        <f t="shared" si="48"/>
        <v>2.810457516339869E-2</v>
      </c>
      <c r="DP13" s="20">
        <f t="shared" si="49"/>
        <v>767.63157894736844</v>
      </c>
      <c r="DQ13" s="22">
        <f t="shared" si="50"/>
        <v>19.065359477124183</v>
      </c>
      <c r="DR13" s="22">
        <f t="shared" si="51"/>
        <v>36.70356721386316</v>
      </c>
      <c r="DS13" s="19">
        <f t="shared" si="52"/>
        <v>0.95219994810307551</v>
      </c>
      <c r="DT13" s="23">
        <f t="shared" si="53"/>
        <v>3.4281796366129587E-4</v>
      </c>
      <c r="DU13" s="22">
        <f t="shared" si="54"/>
        <v>6.2407407407407405</v>
      </c>
      <c r="DV13" s="22">
        <f t="shared" si="80"/>
        <v>14.454545454545455</v>
      </c>
      <c r="DW13" s="22">
        <f t="shared" si="55"/>
        <v>0.98317996934859364</v>
      </c>
      <c r="DX13" s="22">
        <f t="shared" si="56"/>
        <v>94.362017804154306</v>
      </c>
      <c r="DY13" s="22">
        <f t="shared" si="57"/>
        <v>9.4955489614243316</v>
      </c>
      <c r="DZ13" s="19">
        <f t="shared" si="58"/>
        <v>9.6685162998753869E-3</v>
      </c>
      <c r="EA13" s="23"/>
      <c r="EB13" s="19">
        <f t="shared" si="59"/>
        <v>0.10062893081761007</v>
      </c>
      <c r="EC13" s="19">
        <f t="shared" si="60"/>
        <v>9.6175962995540848E-2</v>
      </c>
      <c r="ED13" s="19"/>
      <c r="EE13" s="19">
        <f t="shared" si="61"/>
        <v>38.477034649476231</v>
      </c>
      <c r="EF13" s="19">
        <f t="shared" si="62"/>
        <v>2.82030620467365</v>
      </c>
      <c r="EG13" s="19">
        <f t="shared" si="63"/>
        <v>16.116035455277999</v>
      </c>
      <c r="EH13" s="19">
        <f t="shared" si="64"/>
        <v>13.295729250604349</v>
      </c>
      <c r="EI13" s="19">
        <f t="shared" si="65"/>
        <v>0.28203062046736505</v>
      </c>
      <c r="EJ13" s="19">
        <f t="shared" si="66"/>
        <v>4.0290088638194996</v>
      </c>
      <c r="EK13" s="19">
        <f t="shared" si="67"/>
        <v>12.187751813053987</v>
      </c>
      <c r="EL13" s="19">
        <f t="shared" si="68"/>
        <v>5.9427880741337624</v>
      </c>
      <c r="EM13" s="19">
        <f t="shared" si="69"/>
        <v>5.4391619661563251</v>
      </c>
      <c r="EN13" s="19">
        <f t="shared" si="70"/>
        <v>1.410153102336825</v>
      </c>
      <c r="EO13" s="19">
        <f t="shared" si="71"/>
        <v>99.999999999999986</v>
      </c>
      <c r="EP13" s="19"/>
    </row>
    <row r="14" spans="1:178">
      <c r="A14" s="1" t="s">
        <v>45</v>
      </c>
      <c r="B14" s="36" t="s">
        <v>60</v>
      </c>
      <c r="C14" s="1">
        <v>1</v>
      </c>
      <c r="D14" s="1" t="s">
        <v>43</v>
      </c>
      <c r="E14" s="1" t="s">
        <v>59</v>
      </c>
      <c r="F14" s="2" t="s">
        <v>61</v>
      </c>
      <c r="G14" s="14">
        <v>38.1</v>
      </c>
      <c r="H14" s="14">
        <v>2.8</v>
      </c>
      <c r="I14" s="14">
        <v>15.7</v>
      </c>
      <c r="J14" s="14">
        <v>13.1</v>
      </c>
      <c r="K14" s="14">
        <v>0.28000000000000003</v>
      </c>
      <c r="L14" s="14">
        <v>4</v>
      </c>
      <c r="M14" s="14">
        <v>12</v>
      </c>
      <c r="N14" s="14">
        <v>5.5</v>
      </c>
      <c r="O14" s="14">
        <v>5.2</v>
      </c>
      <c r="P14" s="14">
        <v>1.4</v>
      </c>
      <c r="Q14" s="14"/>
      <c r="R14" s="14"/>
      <c r="S14" s="15">
        <f t="shared" si="0"/>
        <v>98.08</v>
      </c>
      <c r="U14" s="86">
        <v>0.70465299999999997</v>
      </c>
      <c r="V14" s="86">
        <v>0.51264500000000002</v>
      </c>
      <c r="W14" s="14">
        <v>19.68</v>
      </c>
      <c r="X14" s="14">
        <v>15.67</v>
      </c>
      <c r="Y14" s="14">
        <v>39.65</v>
      </c>
      <c r="Z14" s="14">
        <f t="shared" si="73"/>
        <v>2.0147357723577235</v>
      </c>
      <c r="AA14" s="14">
        <f t="shared" si="74"/>
        <v>0.79623983739837401</v>
      </c>
      <c r="AB14" s="14">
        <f t="shared" si="75"/>
        <v>4.5688000000000173</v>
      </c>
      <c r="AC14" s="14">
        <f t="shared" si="76"/>
        <v>22.987999999999431</v>
      </c>
      <c r="AD14" s="14"/>
      <c r="AF14" s="19">
        <f t="shared" si="1"/>
        <v>0.41575235948516459</v>
      </c>
      <c r="AG14" s="20">
        <f t="shared" si="2"/>
        <v>16786</v>
      </c>
      <c r="AH14" s="20">
        <f t="shared" si="3"/>
        <v>43170.400000000001</v>
      </c>
      <c r="AI14" s="20">
        <f t="shared" si="77"/>
        <v>6109.5999999999995</v>
      </c>
      <c r="AJ14" s="19">
        <f t="shared" si="4"/>
        <v>10.7</v>
      </c>
      <c r="AK14" s="19">
        <f t="shared" si="5"/>
        <v>0.94545454545454544</v>
      </c>
      <c r="AL14" s="19">
        <f t="shared" si="6"/>
        <v>1.0576923076923077</v>
      </c>
      <c r="AM14" s="19">
        <f t="shared" si="7"/>
        <v>0.76433121019108285</v>
      </c>
      <c r="AN14" s="19">
        <f t="shared" si="8"/>
        <v>0.93478487398374899</v>
      </c>
      <c r="AO14" s="118">
        <f t="shared" si="9"/>
        <v>-881.16231649136716</v>
      </c>
      <c r="AP14" s="118">
        <f t="shared" si="10"/>
        <v>1825.4029821082761</v>
      </c>
      <c r="AQ14" s="19">
        <f t="shared" si="11"/>
        <v>0.43021329045656104</v>
      </c>
      <c r="AR14" s="19">
        <f t="shared" si="12"/>
        <v>0.93478487398374899</v>
      </c>
      <c r="AS14" s="118">
        <f t="shared" si="13"/>
        <v>-881.16231649136716</v>
      </c>
      <c r="AT14" s="118">
        <f t="shared" si="14"/>
        <v>1825.4029821082761</v>
      </c>
      <c r="AU14" s="14">
        <f t="shared" si="15"/>
        <v>0.13648293963254593</v>
      </c>
      <c r="AV14" s="14">
        <f t="shared" si="16"/>
        <v>0.35849459748198031</v>
      </c>
      <c r="AX14" s="118">
        <v>166</v>
      </c>
      <c r="AY14" s="118">
        <v>2824</v>
      </c>
      <c r="AZ14" s="118">
        <v>2682</v>
      </c>
      <c r="BB14" s="118"/>
      <c r="BC14" s="118"/>
      <c r="BE14" s="118"/>
      <c r="BF14" s="118"/>
      <c r="BG14" s="118"/>
      <c r="BH14" s="118"/>
      <c r="BI14" s="118">
        <v>50</v>
      </c>
      <c r="BJ14" s="118">
        <v>328</v>
      </c>
      <c r="BK14" s="118">
        <v>314</v>
      </c>
      <c r="BL14" s="117">
        <v>4.5999999999999996</v>
      </c>
      <c r="BM14" s="117">
        <v>24</v>
      </c>
      <c r="BN14" s="117">
        <v>227</v>
      </c>
      <c r="BO14" s="117">
        <v>477</v>
      </c>
      <c r="BP14" s="117">
        <v>46</v>
      </c>
      <c r="BQ14" s="117">
        <v>156</v>
      </c>
      <c r="BR14" s="14">
        <v>22</v>
      </c>
      <c r="BS14" s="14">
        <v>5.9</v>
      </c>
      <c r="BT14" s="117">
        <v>13.8</v>
      </c>
      <c r="BU14" s="14">
        <v>1.82</v>
      </c>
      <c r="BV14" s="14">
        <v>10.3</v>
      </c>
      <c r="BW14" s="14">
        <v>1.91</v>
      </c>
      <c r="BX14" s="14">
        <v>4.7</v>
      </c>
      <c r="BY14" s="14">
        <v>0.65</v>
      </c>
      <c r="BZ14" s="14">
        <v>4</v>
      </c>
      <c r="CA14" s="14">
        <v>0.56999999999999995</v>
      </c>
      <c r="CB14" s="117">
        <v>6.1</v>
      </c>
      <c r="CC14" s="117">
        <v>30</v>
      </c>
      <c r="CD14" s="118">
        <v>10.5</v>
      </c>
      <c r="CE14" s="118"/>
      <c r="CF14" s="118"/>
      <c r="CG14" s="22">
        <f t="shared" si="17"/>
        <v>732.25806451612902</v>
      </c>
      <c r="CH14" s="22">
        <f t="shared" si="18"/>
        <v>590.34653465346526</v>
      </c>
      <c r="CI14" s="22">
        <f t="shared" si="19"/>
        <v>377.04918032786884</v>
      </c>
      <c r="CJ14" s="22">
        <f t="shared" si="20"/>
        <v>260</v>
      </c>
      <c r="CK14" s="22">
        <f t="shared" si="72"/>
        <v>112.82051282051282</v>
      </c>
      <c r="CL14" s="22">
        <f t="shared" si="21"/>
        <v>79.72972972972974</v>
      </c>
      <c r="CM14" s="22">
        <f t="shared" si="22"/>
        <v>53.28185328185328</v>
      </c>
      <c r="CN14" s="22">
        <f t="shared" si="23"/>
        <v>38.396624472573841</v>
      </c>
      <c r="CO14" s="22">
        <f t="shared" si="24"/>
        <v>31.987577639751553</v>
      </c>
      <c r="CP14" s="22">
        <f t="shared" si="25"/>
        <v>26.601671309192199</v>
      </c>
      <c r="CQ14" s="22">
        <f t="shared" si="26"/>
        <v>22.380952380952383</v>
      </c>
      <c r="CR14" s="22">
        <f t="shared" si="27"/>
        <v>20.061728395061731</v>
      </c>
      <c r="CS14" s="22">
        <f t="shared" si="28"/>
        <v>19.138755980861244</v>
      </c>
      <c r="CT14" s="22">
        <f t="shared" si="29"/>
        <v>17.812499999999996</v>
      </c>
      <c r="CU14" s="22">
        <f t="shared" si="30"/>
        <v>8.5414012738853504</v>
      </c>
      <c r="CV14" s="117">
        <f t="shared" si="31"/>
        <v>11.814977973568283</v>
      </c>
      <c r="CW14" s="22">
        <f t="shared" si="32"/>
        <v>0.72292993630573243</v>
      </c>
      <c r="CX14" s="20">
        <f t="shared" si="33"/>
        <v>53.458598726114651</v>
      </c>
      <c r="CY14" s="22">
        <f t="shared" si="34"/>
        <v>78.196721311475414</v>
      </c>
      <c r="CZ14" s="22">
        <f t="shared" si="35"/>
        <v>29.904761904761905</v>
      </c>
      <c r="DA14" s="22">
        <f t="shared" si="36"/>
        <v>7.5454545454545459</v>
      </c>
      <c r="DB14" s="22">
        <f t="shared" si="37"/>
        <v>1.0445859872611465</v>
      </c>
      <c r="DC14" s="22">
        <f t="shared" si="38"/>
        <v>89.4</v>
      </c>
      <c r="DD14" s="22">
        <f t="shared" si="78"/>
        <v>1.25</v>
      </c>
      <c r="DE14" s="22">
        <f t="shared" si="79"/>
        <v>6</v>
      </c>
      <c r="DF14" s="22">
        <f t="shared" si="39"/>
        <v>7.5</v>
      </c>
      <c r="DG14" s="19">
        <f t="shared" si="40"/>
        <v>6.28</v>
      </c>
      <c r="DH14" s="20">
        <f t="shared" si="41"/>
        <v>190.17797356828194</v>
      </c>
      <c r="DI14" s="19">
        <f t="shared" si="42"/>
        <v>1.8266858883254724</v>
      </c>
      <c r="DJ14" s="22">
        <f t="shared" si="43"/>
        <v>398.24561403508773</v>
      </c>
      <c r="DK14" s="22">
        <f t="shared" si="44"/>
        <v>41.109224674589704</v>
      </c>
      <c r="DL14" s="22">
        <f t="shared" si="45"/>
        <v>6.4904692082111435</v>
      </c>
      <c r="DM14" s="22">
        <f t="shared" si="46"/>
        <v>56.75</v>
      </c>
      <c r="DN14" s="22">
        <f t="shared" si="47"/>
        <v>5.5</v>
      </c>
      <c r="DO14" s="22">
        <f t="shared" si="48"/>
        <v>2.9487179487179487E-2</v>
      </c>
      <c r="DP14" s="20">
        <f t="shared" si="49"/>
        <v>706</v>
      </c>
      <c r="DQ14" s="22">
        <f t="shared" si="50"/>
        <v>18.102564102564102</v>
      </c>
      <c r="DR14" s="22">
        <f t="shared" si="51"/>
        <v>36.423443043760365</v>
      </c>
      <c r="DS14" s="19">
        <f t="shared" si="52"/>
        <v>1.0283396847398083</v>
      </c>
      <c r="DT14" s="23">
        <f t="shared" si="53"/>
        <v>3.5410764872521248E-4</v>
      </c>
      <c r="DU14" s="22">
        <f t="shared" si="54"/>
        <v>6.56</v>
      </c>
      <c r="DV14" s="22">
        <f t="shared" si="80"/>
        <v>13.083333333333334</v>
      </c>
      <c r="DW14" s="22">
        <f t="shared" si="55"/>
        <v>0.9695042721359286</v>
      </c>
      <c r="DX14" s="22">
        <f t="shared" si="56"/>
        <v>95.731707317073173</v>
      </c>
      <c r="DY14" s="22">
        <f t="shared" si="57"/>
        <v>9.1463414634146343</v>
      </c>
      <c r="DZ14" s="19">
        <f t="shared" si="58"/>
        <v>1.0109109058223849E-2</v>
      </c>
      <c r="EA14" s="23"/>
      <c r="EB14" s="19">
        <f t="shared" si="59"/>
        <v>9.5541401273885357E-2</v>
      </c>
      <c r="EC14" s="19">
        <f t="shared" si="60"/>
        <v>8.9787283713211485E-2</v>
      </c>
      <c r="ED14" s="19"/>
      <c r="EE14" s="19">
        <f t="shared" si="61"/>
        <v>38.845840130505714</v>
      </c>
      <c r="EF14" s="19">
        <f t="shared" si="62"/>
        <v>2.8548123980424145</v>
      </c>
      <c r="EG14" s="19">
        <f t="shared" si="63"/>
        <v>16.007340946166394</v>
      </c>
      <c r="EH14" s="19">
        <f t="shared" si="64"/>
        <v>13.356443719412724</v>
      </c>
      <c r="EI14" s="19">
        <f t="shared" si="65"/>
        <v>0.2854812398042415</v>
      </c>
      <c r="EJ14" s="19">
        <f t="shared" si="66"/>
        <v>4.0783034257748776</v>
      </c>
      <c r="EK14" s="19">
        <f t="shared" si="67"/>
        <v>12.234910277324634</v>
      </c>
      <c r="EL14" s="19">
        <f t="shared" si="68"/>
        <v>5.6076672104404572</v>
      </c>
      <c r="EM14" s="19">
        <f t="shared" si="69"/>
        <v>5.3017944535073411</v>
      </c>
      <c r="EN14" s="19">
        <f t="shared" si="70"/>
        <v>1.4274061990212072</v>
      </c>
      <c r="EO14" s="19">
        <f t="shared" si="71"/>
        <v>99.999999999999986</v>
      </c>
      <c r="EP14" s="19"/>
    </row>
    <row r="15" spans="1:178">
      <c r="A15" s="1" t="s">
        <v>45</v>
      </c>
      <c r="B15" s="36" t="s">
        <v>60</v>
      </c>
      <c r="C15" s="1">
        <v>1</v>
      </c>
      <c r="D15" s="1" t="s">
        <v>43</v>
      </c>
      <c r="E15" s="1" t="s">
        <v>59</v>
      </c>
      <c r="F15" s="2" t="s">
        <v>61</v>
      </c>
      <c r="G15" s="14">
        <v>38.4</v>
      </c>
      <c r="H15" s="14">
        <v>2.8</v>
      </c>
      <c r="I15" s="14">
        <v>15.6</v>
      </c>
      <c r="J15" s="14">
        <v>13.1</v>
      </c>
      <c r="K15" s="14">
        <v>0.28000000000000003</v>
      </c>
      <c r="L15" s="14">
        <v>4</v>
      </c>
      <c r="M15" s="14">
        <v>12</v>
      </c>
      <c r="N15" s="14">
        <v>5.8</v>
      </c>
      <c r="O15" s="14">
        <v>5.6</v>
      </c>
      <c r="P15" s="14">
        <v>1.4</v>
      </c>
      <c r="Q15" s="14"/>
      <c r="R15" s="14"/>
      <c r="S15" s="15">
        <f t="shared" si="0"/>
        <v>98.97999999999999</v>
      </c>
      <c r="U15" s="86">
        <v>0.70467500000000005</v>
      </c>
      <c r="V15" s="86">
        <v>0.51268100000000005</v>
      </c>
      <c r="W15" s="14">
        <v>19.690000000000001</v>
      </c>
      <c r="X15" s="14">
        <v>15.68</v>
      </c>
      <c r="Y15" s="14">
        <v>39.67</v>
      </c>
      <c r="Z15" s="14">
        <f t="shared" si="73"/>
        <v>2.0147282884713054</v>
      </c>
      <c r="AA15" s="14">
        <f t="shared" si="74"/>
        <v>0.79634332148298625</v>
      </c>
      <c r="AB15" s="14">
        <f t="shared" si="75"/>
        <v>5.4603999999999431</v>
      </c>
      <c r="AC15" s="14">
        <f t="shared" si="76"/>
        <v>23.778999999999684</v>
      </c>
      <c r="AD15" s="14"/>
      <c r="AF15" s="19">
        <f t="shared" si="1"/>
        <v>0.41575235948516459</v>
      </c>
      <c r="AG15" s="20">
        <f t="shared" si="2"/>
        <v>16786</v>
      </c>
      <c r="AH15" s="20">
        <f t="shared" si="3"/>
        <v>46491.199999999997</v>
      </c>
      <c r="AI15" s="20">
        <f t="shared" si="77"/>
        <v>6109.5999999999995</v>
      </c>
      <c r="AJ15" s="19">
        <f t="shared" si="4"/>
        <v>11.399999999999999</v>
      </c>
      <c r="AK15" s="19">
        <f t="shared" si="5"/>
        <v>0.96551724137931028</v>
      </c>
      <c r="AL15" s="19">
        <f t="shared" si="6"/>
        <v>1.0357142857142858</v>
      </c>
      <c r="AM15" s="19">
        <f t="shared" si="7"/>
        <v>0.76923076923076927</v>
      </c>
      <c r="AN15" s="19">
        <f t="shared" si="8"/>
        <v>1.0001658798755868</v>
      </c>
      <c r="AO15" s="118">
        <f t="shared" si="9"/>
        <v>-1054.9351923726849</v>
      </c>
      <c r="AP15" s="118">
        <f t="shared" si="10"/>
        <v>1806.8232888476314</v>
      </c>
      <c r="AQ15" s="19">
        <f t="shared" si="11"/>
        <v>0.41688945939708472</v>
      </c>
      <c r="AR15" s="19">
        <f t="shared" si="12"/>
        <v>1.0001658798755868</v>
      </c>
      <c r="AS15" s="118">
        <f t="shared" si="13"/>
        <v>-1054.9351923726849</v>
      </c>
      <c r="AT15" s="118">
        <f t="shared" si="14"/>
        <v>1806.8232888476314</v>
      </c>
      <c r="AU15" s="14">
        <f t="shared" si="15"/>
        <v>0.14583333333333334</v>
      </c>
      <c r="AV15" s="14">
        <f t="shared" si="16"/>
        <v>0.3885459197561108</v>
      </c>
      <c r="AX15" s="118">
        <v>173</v>
      </c>
      <c r="AY15" s="118">
        <v>2928</v>
      </c>
      <c r="AZ15" s="118">
        <v>3530</v>
      </c>
      <c r="BB15" s="118"/>
      <c r="BC15" s="118"/>
      <c r="BE15" s="118"/>
      <c r="BF15" s="118"/>
      <c r="BG15" s="118"/>
      <c r="BH15" s="118"/>
      <c r="BI15" s="118">
        <v>54</v>
      </c>
      <c r="BJ15" s="118">
        <v>339</v>
      </c>
      <c r="BK15" s="118">
        <v>327</v>
      </c>
      <c r="BL15" s="117">
        <v>4.5999999999999996</v>
      </c>
      <c r="BM15" s="117">
        <v>23</v>
      </c>
      <c r="BN15" s="117">
        <v>241</v>
      </c>
      <c r="BO15" s="117">
        <v>484</v>
      </c>
      <c r="BP15" s="117">
        <v>49</v>
      </c>
      <c r="BQ15" s="117">
        <v>164</v>
      </c>
      <c r="BR15" s="14">
        <v>22</v>
      </c>
      <c r="BS15" s="14">
        <v>5.8</v>
      </c>
      <c r="BT15" s="117">
        <v>13.9</v>
      </c>
      <c r="BU15" s="14">
        <v>1.94</v>
      </c>
      <c r="BV15" s="14">
        <v>10.9</v>
      </c>
      <c r="BW15" s="14">
        <v>2</v>
      </c>
      <c r="BX15" s="14">
        <v>4.9000000000000004</v>
      </c>
      <c r="BY15" s="14">
        <v>0.69</v>
      </c>
      <c r="BZ15" s="14">
        <v>4.0999999999999996</v>
      </c>
      <c r="CA15" s="14">
        <v>0.57999999999999996</v>
      </c>
      <c r="CB15" s="117">
        <v>6.3</v>
      </c>
      <c r="CC15" s="117">
        <v>33</v>
      </c>
      <c r="CD15" s="118">
        <v>10.3</v>
      </c>
      <c r="CE15" s="118"/>
      <c r="CF15" s="118"/>
      <c r="CG15" s="22">
        <f t="shared" si="17"/>
        <v>777.41935483870964</v>
      </c>
      <c r="CH15" s="22">
        <f t="shared" si="18"/>
        <v>599.00990099009903</v>
      </c>
      <c r="CI15" s="22">
        <f t="shared" si="19"/>
        <v>401.63934426229508</v>
      </c>
      <c r="CJ15" s="22">
        <f t="shared" si="20"/>
        <v>273.33333333333337</v>
      </c>
      <c r="CK15" s="22">
        <f t="shared" si="72"/>
        <v>112.82051282051282</v>
      </c>
      <c r="CL15" s="22">
        <f t="shared" si="21"/>
        <v>78.378378378378386</v>
      </c>
      <c r="CM15" s="22">
        <f t="shared" si="22"/>
        <v>53.667953667953668</v>
      </c>
      <c r="CN15" s="22">
        <f t="shared" si="23"/>
        <v>40.928270042194093</v>
      </c>
      <c r="CO15" s="22">
        <f t="shared" si="24"/>
        <v>33.850931677018636</v>
      </c>
      <c r="CP15" s="22">
        <f t="shared" si="25"/>
        <v>27.855153203342617</v>
      </c>
      <c r="CQ15" s="22">
        <f t="shared" si="26"/>
        <v>23.333333333333336</v>
      </c>
      <c r="CR15" s="22">
        <f t="shared" si="27"/>
        <v>21.296296296296294</v>
      </c>
      <c r="CS15" s="22">
        <f t="shared" si="28"/>
        <v>19.617224880382775</v>
      </c>
      <c r="CT15" s="22">
        <f t="shared" si="29"/>
        <v>18.125</v>
      </c>
      <c r="CU15" s="22">
        <f t="shared" si="30"/>
        <v>10.795107033639145</v>
      </c>
      <c r="CV15" s="117">
        <f t="shared" si="31"/>
        <v>14.647302904564315</v>
      </c>
      <c r="CW15" s="22">
        <f t="shared" si="32"/>
        <v>0.73700305810397548</v>
      </c>
      <c r="CX15" s="20">
        <f t="shared" si="33"/>
        <v>51.333333333333336</v>
      </c>
      <c r="CY15" s="22">
        <f t="shared" si="34"/>
        <v>76.825396825396822</v>
      </c>
      <c r="CZ15" s="22">
        <f t="shared" si="35"/>
        <v>31.747572815533978</v>
      </c>
      <c r="DA15" s="22">
        <f t="shared" si="36"/>
        <v>7.8636363636363633</v>
      </c>
      <c r="DB15" s="22">
        <f t="shared" si="37"/>
        <v>1.036697247706422</v>
      </c>
      <c r="DC15" s="22">
        <f t="shared" si="38"/>
        <v>106.96969696969697</v>
      </c>
      <c r="DD15" s="22">
        <f t="shared" si="78"/>
        <v>1.4347826086956521</v>
      </c>
      <c r="DE15" s="22">
        <f t="shared" si="79"/>
        <v>5.6097560975609762</v>
      </c>
      <c r="DF15" s="22">
        <f t="shared" si="39"/>
        <v>8.0487804878048781</v>
      </c>
      <c r="DG15" s="19">
        <f t="shared" si="40"/>
        <v>6.0555555555555554</v>
      </c>
      <c r="DH15" s="20">
        <f t="shared" si="41"/>
        <v>192.90954356846473</v>
      </c>
      <c r="DI15" s="19">
        <f t="shared" si="42"/>
        <v>1.8508263497823843</v>
      </c>
      <c r="DJ15" s="22">
        <f t="shared" si="43"/>
        <v>415.51724137931035</v>
      </c>
      <c r="DK15" s="22">
        <f t="shared" si="44"/>
        <v>42.892102335928804</v>
      </c>
      <c r="DL15" s="22">
        <f t="shared" si="45"/>
        <v>6.8907624633431084</v>
      </c>
      <c r="DM15" s="22">
        <f t="shared" si="46"/>
        <v>58.780487804878057</v>
      </c>
      <c r="DN15" s="22">
        <f t="shared" si="47"/>
        <v>5.3658536585365857</v>
      </c>
      <c r="DO15" s="22">
        <f t="shared" si="48"/>
        <v>2.8048780487804875E-2</v>
      </c>
      <c r="DP15" s="20">
        <f t="shared" si="49"/>
        <v>714.14634146341473</v>
      </c>
      <c r="DQ15" s="22">
        <f t="shared" si="50"/>
        <v>17.853658536585368</v>
      </c>
      <c r="DR15" s="22">
        <f t="shared" si="51"/>
        <v>37.628726429606843</v>
      </c>
      <c r="DS15" s="19">
        <f t="shared" si="52"/>
        <v>1.007267267075209</v>
      </c>
      <c r="DT15" s="23">
        <f t="shared" si="53"/>
        <v>3.4153005464480874E-4</v>
      </c>
      <c r="DU15" s="22">
        <f t="shared" si="54"/>
        <v>6.2777777777777777</v>
      </c>
      <c r="DV15" s="22">
        <f t="shared" si="80"/>
        <v>14.217391304347826</v>
      </c>
      <c r="DW15" s="22">
        <f t="shared" si="55"/>
        <v>0.99036659114749948</v>
      </c>
      <c r="DX15" s="22">
        <f t="shared" si="56"/>
        <v>96.460176991150448</v>
      </c>
      <c r="DY15" s="22">
        <f t="shared" si="57"/>
        <v>9.7345132743362832</v>
      </c>
      <c r="DZ15" s="19">
        <f t="shared" si="58"/>
        <v>9.6613876844358938E-3</v>
      </c>
      <c r="EA15" s="23"/>
      <c r="EB15" s="19">
        <f t="shared" si="59"/>
        <v>0.10091743119266056</v>
      </c>
      <c r="EC15" s="19">
        <f t="shared" si="60"/>
        <v>8.9195497514501842E-2</v>
      </c>
      <c r="ED15" s="19"/>
      <c r="EE15" s="19">
        <f t="shared" si="61"/>
        <v>38.795716306324515</v>
      </c>
      <c r="EF15" s="19">
        <f t="shared" si="62"/>
        <v>2.8288543140028293</v>
      </c>
      <c r="EG15" s="19">
        <f t="shared" si="63"/>
        <v>15.760759749444334</v>
      </c>
      <c r="EH15" s="19">
        <f t="shared" si="64"/>
        <v>13.234996969084666</v>
      </c>
      <c r="EI15" s="19">
        <f t="shared" si="65"/>
        <v>0.28288543140028294</v>
      </c>
      <c r="EJ15" s="19">
        <f t="shared" si="66"/>
        <v>4.0412204485754701</v>
      </c>
      <c r="EK15" s="19">
        <f t="shared" si="67"/>
        <v>12.123661345726411</v>
      </c>
      <c r="EL15" s="19">
        <f t="shared" si="68"/>
        <v>5.8597696504344317</v>
      </c>
      <c r="EM15" s="19">
        <f t="shared" si="69"/>
        <v>5.6577086280056585</v>
      </c>
      <c r="EN15" s="19">
        <f t="shared" si="70"/>
        <v>1.4144271570014146</v>
      </c>
      <c r="EO15" s="19">
        <f t="shared" si="71"/>
        <v>100.00000000000003</v>
      </c>
      <c r="EP15" s="19"/>
    </row>
    <row r="16" spans="1:178">
      <c r="A16" s="1" t="s">
        <v>45</v>
      </c>
      <c r="B16" s="36" t="s">
        <v>60</v>
      </c>
      <c r="C16" s="1">
        <v>1</v>
      </c>
      <c r="D16" s="1" t="s">
        <v>43</v>
      </c>
      <c r="E16" s="1" t="s">
        <v>59</v>
      </c>
      <c r="F16" s="2" t="s">
        <v>61</v>
      </c>
      <c r="G16" s="14">
        <v>38.9</v>
      </c>
      <c r="H16" s="14">
        <v>2.8</v>
      </c>
      <c r="I16" s="14">
        <v>14.9</v>
      </c>
      <c r="J16" s="14">
        <v>13.3</v>
      </c>
      <c r="K16" s="14">
        <v>0.28999999999999998</v>
      </c>
      <c r="L16" s="14">
        <v>4.0999999999999996</v>
      </c>
      <c r="M16" s="14">
        <v>12.2</v>
      </c>
      <c r="N16" s="14">
        <v>5.8</v>
      </c>
      <c r="O16" s="14">
        <v>5.7</v>
      </c>
      <c r="P16" s="14">
        <v>1.5</v>
      </c>
      <c r="Q16" s="14"/>
      <c r="R16" s="14"/>
      <c r="S16" s="15">
        <f t="shared" si="0"/>
        <v>99.49</v>
      </c>
      <c r="U16" s="86">
        <v>0.70468900000000001</v>
      </c>
      <c r="V16" s="86">
        <v>0.51270899999999997</v>
      </c>
      <c r="W16" s="14">
        <v>19.690000000000001</v>
      </c>
      <c r="X16" s="14">
        <v>15.68</v>
      </c>
      <c r="Y16" s="14">
        <v>39.67</v>
      </c>
      <c r="Z16" s="14">
        <f t="shared" si="73"/>
        <v>2.0147282884713054</v>
      </c>
      <c r="AA16" s="14">
        <f t="shared" si="74"/>
        <v>0.79634332148298625</v>
      </c>
      <c r="AB16" s="14">
        <f t="shared" si="75"/>
        <v>5.4603999999999431</v>
      </c>
      <c r="AC16" s="14">
        <f t="shared" si="76"/>
        <v>23.778999999999684</v>
      </c>
      <c r="AD16" s="14"/>
      <c r="AF16" s="19">
        <f t="shared" si="1"/>
        <v>0.41807169058520421</v>
      </c>
      <c r="AG16" s="20">
        <f t="shared" si="2"/>
        <v>16786</v>
      </c>
      <c r="AH16" s="20">
        <f t="shared" si="3"/>
        <v>47321.4</v>
      </c>
      <c r="AI16" s="20">
        <f t="shared" si="77"/>
        <v>6546</v>
      </c>
      <c r="AJ16" s="19">
        <f t="shared" si="4"/>
        <v>11.5</v>
      </c>
      <c r="AK16" s="19">
        <f t="shared" si="5"/>
        <v>0.98275862068965525</v>
      </c>
      <c r="AL16" s="19">
        <f t="shared" si="6"/>
        <v>1.0175438596491226</v>
      </c>
      <c r="AM16" s="19">
        <f t="shared" si="7"/>
        <v>0.81879194630872487</v>
      </c>
      <c r="AN16" s="19">
        <f t="shared" si="8"/>
        <v>1.0544178199994105</v>
      </c>
      <c r="AO16" s="118">
        <f t="shared" si="9"/>
        <v>-1042.0598283747756</v>
      </c>
      <c r="AP16" s="118">
        <f t="shared" si="10"/>
        <v>1810.2559035660834</v>
      </c>
      <c r="AQ16" s="19">
        <f t="shared" si="11"/>
        <v>0.39322437328647969</v>
      </c>
      <c r="AR16" s="19">
        <f t="shared" si="12"/>
        <v>1.0544178199994105</v>
      </c>
      <c r="AS16" s="118">
        <f t="shared" si="13"/>
        <v>-1042.0598283747756</v>
      </c>
      <c r="AT16" s="118">
        <f t="shared" si="14"/>
        <v>1810.2559035660834</v>
      </c>
      <c r="AU16" s="14">
        <f t="shared" si="15"/>
        <v>0.14652956298200515</v>
      </c>
      <c r="AV16" s="14">
        <f t="shared" si="16"/>
        <v>0.41406403625016031</v>
      </c>
      <c r="AX16" s="118">
        <v>173</v>
      </c>
      <c r="AY16" s="118">
        <v>2995</v>
      </c>
      <c r="AZ16" s="118">
        <v>2934</v>
      </c>
      <c r="BB16" s="118"/>
      <c r="BC16" s="118"/>
      <c r="BE16" s="118"/>
      <c r="BF16" s="118"/>
      <c r="BG16" s="118"/>
      <c r="BH16" s="118"/>
      <c r="BI16" s="118">
        <v>51</v>
      </c>
      <c r="BJ16" s="118">
        <v>342</v>
      </c>
      <c r="BK16" s="118">
        <v>337</v>
      </c>
      <c r="BL16" s="117">
        <v>4.4000000000000004</v>
      </c>
      <c r="BM16" s="117">
        <v>23</v>
      </c>
      <c r="BN16" s="117">
        <v>227</v>
      </c>
      <c r="BO16" s="117">
        <v>494</v>
      </c>
      <c r="BP16" s="117">
        <v>46</v>
      </c>
      <c r="BQ16" s="117">
        <v>157</v>
      </c>
      <c r="BR16" s="14">
        <v>23</v>
      </c>
      <c r="BS16" s="14">
        <v>6.1</v>
      </c>
      <c r="BT16" s="117">
        <v>14.5</v>
      </c>
      <c r="BU16" s="14">
        <v>1.9</v>
      </c>
      <c r="BV16" s="14">
        <v>10</v>
      </c>
      <c r="BW16" s="14">
        <v>1.9</v>
      </c>
      <c r="BX16" s="14">
        <v>4.7</v>
      </c>
      <c r="BY16" s="14">
        <v>0.63</v>
      </c>
      <c r="BZ16" s="14">
        <v>3.7</v>
      </c>
      <c r="CA16" s="14">
        <v>0.52</v>
      </c>
      <c r="CB16" s="117">
        <v>6.3</v>
      </c>
      <c r="CC16" s="117">
        <v>30</v>
      </c>
      <c r="CD16" s="118">
        <v>10.7</v>
      </c>
      <c r="CE16" s="118"/>
      <c r="CF16" s="118"/>
      <c r="CG16" s="22">
        <f t="shared" si="17"/>
        <v>732.25806451612902</v>
      </c>
      <c r="CH16" s="22">
        <f t="shared" si="18"/>
        <v>611.38613861386136</v>
      </c>
      <c r="CI16" s="22">
        <f t="shared" si="19"/>
        <v>377.04918032786884</v>
      </c>
      <c r="CJ16" s="22">
        <f t="shared" si="20"/>
        <v>261.66666666666669</v>
      </c>
      <c r="CK16" s="22">
        <f t="shared" si="72"/>
        <v>117.94871794871794</v>
      </c>
      <c r="CL16" s="22">
        <f t="shared" si="21"/>
        <v>82.432432432432435</v>
      </c>
      <c r="CM16" s="22">
        <f t="shared" si="22"/>
        <v>55.984555984555982</v>
      </c>
      <c r="CN16" s="22">
        <f t="shared" si="23"/>
        <v>40.084388185654007</v>
      </c>
      <c r="CO16" s="22">
        <f t="shared" si="24"/>
        <v>31.055900621118013</v>
      </c>
      <c r="CP16" s="22">
        <f t="shared" si="25"/>
        <v>26.462395543175486</v>
      </c>
      <c r="CQ16" s="22">
        <f t="shared" si="26"/>
        <v>22.380952380952383</v>
      </c>
      <c r="CR16" s="22">
        <f t="shared" si="27"/>
        <v>19.444444444444446</v>
      </c>
      <c r="CS16" s="22">
        <f t="shared" si="28"/>
        <v>17.703349282296653</v>
      </c>
      <c r="CT16" s="22">
        <f t="shared" si="29"/>
        <v>16.25</v>
      </c>
      <c r="CU16" s="22">
        <f t="shared" si="30"/>
        <v>8.706231454005934</v>
      </c>
      <c r="CV16" s="117">
        <f t="shared" si="31"/>
        <v>12.92511013215859</v>
      </c>
      <c r="CW16" s="22">
        <f t="shared" si="32"/>
        <v>0.67359050445103863</v>
      </c>
      <c r="CX16" s="20">
        <f t="shared" si="33"/>
        <v>49.810089020771514</v>
      </c>
      <c r="CY16" s="22">
        <f t="shared" si="34"/>
        <v>78.412698412698418</v>
      </c>
      <c r="CZ16" s="22">
        <f t="shared" si="35"/>
        <v>31.495327102803742</v>
      </c>
      <c r="DA16" s="22">
        <f t="shared" si="36"/>
        <v>7.5217391304347823</v>
      </c>
      <c r="DB16" s="22">
        <f t="shared" si="37"/>
        <v>1.0148367952522255</v>
      </c>
      <c r="DC16" s="22">
        <f t="shared" si="38"/>
        <v>97.8</v>
      </c>
      <c r="DD16" s="22">
        <f t="shared" si="78"/>
        <v>1.3043478260869565</v>
      </c>
      <c r="DE16" s="22">
        <f t="shared" si="79"/>
        <v>6.2162162162162158</v>
      </c>
      <c r="DF16" s="22">
        <f t="shared" si="39"/>
        <v>8.108108108108107</v>
      </c>
      <c r="DG16" s="19">
        <f t="shared" si="40"/>
        <v>6.6078431372549016</v>
      </c>
      <c r="DH16" s="20">
        <f t="shared" si="41"/>
        <v>208.46431718061675</v>
      </c>
      <c r="DI16" s="19">
        <f t="shared" si="42"/>
        <v>1.8549454019361451</v>
      </c>
      <c r="DJ16" s="22">
        <f t="shared" si="43"/>
        <v>436.53846153846155</v>
      </c>
      <c r="DK16" s="22">
        <f t="shared" si="44"/>
        <v>45.062034739454091</v>
      </c>
      <c r="DL16" s="22">
        <f t="shared" si="45"/>
        <v>6.2082748948106596</v>
      </c>
      <c r="DM16" s="22">
        <f t="shared" si="46"/>
        <v>61.351351351351347</v>
      </c>
      <c r="DN16" s="22">
        <f t="shared" si="47"/>
        <v>6.2162162162162158</v>
      </c>
      <c r="DO16" s="22">
        <f t="shared" si="48"/>
        <v>2.802547770700637E-2</v>
      </c>
      <c r="DP16" s="20">
        <f t="shared" si="49"/>
        <v>809.45945945945937</v>
      </c>
      <c r="DQ16" s="22">
        <f t="shared" si="50"/>
        <v>19.076433121019107</v>
      </c>
      <c r="DR16" s="22">
        <f t="shared" si="51"/>
        <v>36.856670099313035</v>
      </c>
      <c r="DS16" s="19">
        <f t="shared" si="52"/>
        <v>1.0144190209168864</v>
      </c>
      <c r="DT16" s="23">
        <f t="shared" si="53"/>
        <v>3.33889816360601E-4</v>
      </c>
      <c r="DU16" s="22">
        <f t="shared" si="54"/>
        <v>6.7058823529411766</v>
      </c>
      <c r="DV16" s="22">
        <f t="shared" si="80"/>
        <v>14.652173913043478</v>
      </c>
      <c r="DW16" s="22">
        <f t="shared" si="55"/>
        <v>0.97326433925366063</v>
      </c>
      <c r="DX16" s="22">
        <f t="shared" si="56"/>
        <v>98.538011695906434</v>
      </c>
      <c r="DY16" s="22">
        <f t="shared" si="57"/>
        <v>8.7719298245614041</v>
      </c>
      <c r="DZ16" s="19">
        <f t="shared" si="58"/>
        <v>9.7324401190646576E-3</v>
      </c>
      <c r="EA16" s="23"/>
      <c r="EB16" s="19">
        <f t="shared" si="59"/>
        <v>8.9020771513353122E-2</v>
      </c>
      <c r="EC16" s="19">
        <f t="shared" si="60"/>
        <v>9.1121584449646048E-2</v>
      </c>
      <c r="ED16" s="19"/>
      <c r="EE16" s="19">
        <f t="shared" si="61"/>
        <v>39.099406975575434</v>
      </c>
      <c r="EF16" s="19">
        <f t="shared" si="62"/>
        <v>2.8143532013267665</v>
      </c>
      <c r="EG16" s="19">
        <f t="shared" si="63"/>
        <v>14.976379535631722</v>
      </c>
      <c r="EH16" s="19">
        <f t="shared" si="64"/>
        <v>13.368177706302141</v>
      </c>
      <c r="EI16" s="19">
        <f t="shared" si="65"/>
        <v>0.2914865815659865</v>
      </c>
      <c r="EJ16" s="19">
        <f t="shared" si="66"/>
        <v>4.1210171876570509</v>
      </c>
      <c r="EK16" s="19">
        <f t="shared" si="67"/>
        <v>12.262538948638054</v>
      </c>
      <c r="EL16" s="19">
        <f t="shared" si="68"/>
        <v>5.8297316313197305</v>
      </c>
      <c r="EM16" s="19">
        <f t="shared" si="69"/>
        <v>5.7292190169866322</v>
      </c>
      <c r="EN16" s="19">
        <f t="shared" si="70"/>
        <v>1.5076892149964822</v>
      </c>
      <c r="EO16" s="19">
        <f t="shared" si="71"/>
        <v>100.00000000000001</v>
      </c>
      <c r="EP16" s="19"/>
    </row>
    <row r="17" spans="1:146">
      <c r="A17" s="1" t="s">
        <v>45</v>
      </c>
      <c r="B17" s="36" t="s">
        <v>60</v>
      </c>
      <c r="C17" s="1">
        <v>1</v>
      </c>
      <c r="D17" s="1" t="s">
        <v>43</v>
      </c>
      <c r="E17" s="1" t="s">
        <v>59</v>
      </c>
      <c r="F17" s="2" t="s">
        <v>61</v>
      </c>
      <c r="G17" s="14">
        <v>39</v>
      </c>
      <c r="H17" s="14">
        <v>2.8</v>
      </c>
      <c r="I17" s="14">
        <v>14.8</v>
      </c>
      <c r="J17" s="14">
        <v>13.4</v>
      </c>
      <c r="K17" s="14">
        <v>0.28999999999999998</v>
      </c>
      <c r="L17" s="14">
        <v>4.0999999999999996</v>
      </c>
      <c r="M17" s="14">
        <v>12.3</v>
      </c>
      <c r="N17" s="14">
        <v>6</v>
      </c>
      <c r="O17" s="14">
        <v>5.7</v>
      </c>
      <c r="P17" s="14">
        <v>1.5</v>
      </c>
      <c r="Q17" s="14"/>
      <c r="R17" s="14"/>
      <c r="S17" s="15">
        <f t="shared" si="0"/>
        <v>99.89</v>
      </c>
      <c r="U17" s="86">
        <v>0.70475699999999997</v>
      </c>
      <c r="V17" s="86">
        <v>0.51268800000000003</v>
      </c>
      <c r="W17" s="14">
        <v>19.71</v>
      </c>
      <c r="X17" s="14">
        <v>15.7</v>
      </c>
      <c r="Y17" s="14">
        <v>39.76</v>
      </c>
      <c r="Z17" s="14">
        <f t="shared" si="73"/>
        <v>2.0172501268391678</v>
      </c>
      <c r="AA17" s="14">
        <f t="shared" si="74"/>
        <v>0.79654997463216637</v>
      </c>
      <c r="AB17" s="14">
        <f t="shared" si="75"/>
        <v>7.2435999999999723</v>
      </c>
      <c r="AC17" s="14">
        <f t="shared" si="76"/>
        <v>30.360999999999194</v>
      </c>
      <c r="AD17" s="14"/>
      <c r="AF17" s="19">
        <f t="shared" si="1"/>
        <v>0.41625042811957408</v>
      </c>
      <c r="AG17" s="20">
        <f t="shared" si="2"/>
        <v>16786</v>
      </c>
      <c r="AH17" s="20">
        <f t="shared" si="3"/>
        <v>47321.4</v>
      </c>
      <c r="AI17" s="20">
        <f t="shared" si="77"/>
        <v>6546</v>
      </c>
      <c r="AJ17" s="19">
        <f t="shared" si="4"/>
        <v>11.7</v>
      </c>
      <c r="AK17" s="19">
        <f t="shared" si="5"/>
        <v>0.95000000000000007</v>
      </c>
      <c r="AL17" s="19">
        <f t="shared" si="6"/>
        <v>1.0526315789473684</v>
      </c>
      <c r="AM17" s="19">
        <f t="shared" si="7"/>
        <v>0.83108108108108103</v>
      </c>
      <c r="AN17" s="19">
        <f t="shared" si="8"/>
        <v>1.0837726267465262</v>
      </c>
      <c r="AO17" s="118">
        <f t="shared" si="9"/>
        <v>-1103.5445013067726</v>
      </c>
      <c r="AP17" s="118">
        <f t="shared" si="10"/>
        <v>1811.7539757072957</v>
      </c>
      <c r="AQ17" s="19">
        <f t="shared" si="11"/>
        <v>0.38538983312112418</v>
      </c>
      <c r="AR17" s="19">
        <f t="shared" si="12"/>
        <v>1.0837726267465262</v>
      </c>
      <c r="AS17" s="118">
        <f t="shared" si="13"/>
        <v>-1103.5445013067726</v>
      </c>
      <c r="AT17" s="118">
        <f t="shared" si="14"/>
        <v>1811.7539757072957</v>
      </c>
      <c r="AU17" s="14">
        <f t="shared" si="15"/>
        <v>0.14615384615384616</v>
      </c>
      <c r="AV17" s="14">
        <f t="shared" si="16"/>
        <v>0.41686176622482352</v>
      </c>
      <c r="AX17" s="118">
        <v>170</v>
      </c>
      <c r="AY17" s="118">
        <v>2863</v>
      </c>
      <c r="AZ17" s="118">
        <v>3668</v>
      </c>
      <c r="BB17" s="118"/>
      <c r="BC17" s="118"/>
      <c r="BE17" s="118"/>
      <c r="BF17" s="118"/>
      <c r="BG17" s="118"/>
      <c r="BH17" s="118"/>
      <c r="BI17" s="118">
        <v>51</v>
      </c>
      <c r="BJ17" s="118">
        <v>331</v>
      </c>
      <c r="BK17" s="118">
        <v>321</v>
      </c>
      <c r="BL17" s="117">
        <v>4.8</v>
      </c>
      <c r="BM17" s="117">
        <v>24</v>
      </c>
      <c r="BN17" s="117">
        <v>231</v>
      </c>
      <c r="BO17" s="117">
        <v>487</v>
      </c>
      <c r="BP17" s="117">
        <v>47</v>
      </c>
      <c r="BQ17" s="117">
        <v>157</v>
      </c>
      <c r="BR17" s="14">
        <v>21</v>
      </c>
      <c r="BS17" s="14">
        <v>5.5</v>
      </c>
      <c r="BT17" s="117">
        <v>13</v>
      </c>
      <c r="BU17" s="14">
        <v>1.81</v>
      </c>
      <c r="BV17" s="14">
        <v>11.6</v>
      </c>
      <c r="BW17" s="14">
        <v>2.1</v>
      </c>
      <c r="BX17" s="14">
        <v>5.0999999999999996</v>
      </c>
      <c r="BY17" s="14">
        <v>0.7</v>
      </c>
      <c r="BZ17" s="14">
        <v>4.3</v>
      </c>
      <c r="CA17" s="14">
        <v>0.6</v>
      </c>
      <c r="CB17" s="117">
        <v>6.1</v>
      </c>
      <c r="CC17" s="117">
        <v>32</v>
      </c>
      <c r="CD17" s="118">
        <v>10.7</v>
      </c>
      <c r="CE17" s="118"/>
      <c r="CF17" s="118"/>
      <c r="CG17" s="22">
        <f t="shared" si="17"/>
        <v>745.16129032258061</v>
      </c>
      <c r="CH17" s="22">
        <f t="shared" si="18"/>
        <v>602.7227722772277</v>
      </c>
      <c r="CI17" s="22">
        <f t="shared" si="19"/>
        <v>385.24590163934425</v>
      </c>
      <c r="CJ17" s="22">
        <f t="shared" si="20"/>
        <v>261.66666666666669</v>
      </c>
      <c r="CK17" s="22">
        <f t="shared" si="72"/>
        <v>107.69230769230769</v>
      </c>
      <c r="CL17" s="22">
        <f t="shared" si="21"/>
        <v>74.324324324324323</v>
      </c>
      <c r="CM17" s="22">
        <f t="shared" si="22"/>
        <v>50.19305019305019</v>
      </c>
      <c r="CN17" s="22">
        <f t="shared" si="23"/>
        <v>38.185654008438824</v>
      </c>
      <c r="CO17" s="22">
        <f t="shared" si="24"/>
        <v>36.024844720496894</v>
      </c>
      <c r="CP17" s="22">
        <f t="shared" si="25"/>
        <v>29.247910863509748</v>
      </c>
      <c r="CQ17" s="22">
        <f t="shared" si="26"/>
        <v>24.285714285714285</v>
      </c>
      <c r="CR17" s="22">
        <f t="shared" si="27"/>
        <v>21.604938271604937</v>
      </c>
      <c r="CS17" s="22">
        <f t="shared" si="28"/>
        <v>20.574162679425836</v>
      </c>
      <c r="CT17" s="22">
        <f t="shared" si="29"/>
        <v>18.75</v>
      </c>
      <c r="CU17" s="22">
        <f t="shared" si="30"/>
        <v>11.426791277258568</v>
      </c>
      <c r="CV17" s="117">
        <f t="shared" si="31"/>
        <v>15.878787878787879</v>
      </c>
      <c r="CW17" s="22">
        <f t="shared" si="32"/>
        <v>0.71962616822429903</v>
      </c>
      <c r="CX17" s="20">
        <f t="shared" si="33"/>
        <v>52.292834890965729</v>
      </c>
      <c r="CY17" s="22">
        <f t="shared" si="34"/>
        <v>79.836065573770497</v>
      </c>
      <c r="CZ17" s="22">
        <f t="shared" si="35"/>
        <v>30.000000000000004</v>
      </c>
      <c r="DA17" s="22">
        <f t="shared" si="36"/>
        <v>8.0952380952380949</v>
      </c>
      <c r="DB17" s="22">
        <f t="shared" si="37"/>
        <v>1.0311526479750779</v>
      </c>
      <c r="DC17" s="22">
        <f t="shared" si="38"/>
        <v>114.625</v>
      </c>
      <c r="DD17" s="22">
        <f t="shared" si="78"/>
        <v>1.3333333333333333</v>
      </c>
      <c r="DE17" s="22">
        <f t="shared" si="79"/>
        <v>5.5813953488372094</v>
      </c>
      <c r="DF17" s="22">
        <f t="shared" si="39"/>
        <v>7.441860465116279</v>
      </c>
      <c r="DG17" s="19">
        <f t="shared" si="40"/>
        <v>6.2941176470588234</v>
      </c>
      <c r="DH17" s="20">
        <f t="shared" si="41"/>
        <v>204.85454545454547</v>
      </c>
      <c r="DI17" s="19">
        <f t="shared" si="42"/>
        <v>1.7668767775118772</v>
      </c>
      <c r="DJ17" s="22">
        <f t="shared" si="43"/>
        <v>385</v>
      </c>
      <c r="DK17" s="22">
        <f t="shared" si="44"/>
        <v>39.741935483870968</v>
      </c>
      <c r="DL17" s="22">
        <f t="shared" si="45"/>
        <v>6.919354838709677</v>
      </c>
      <c r="DM17" s="22">
        <f t="shared" si="46"/>
        <v>53.720930232558139</v>
      </c>
      <c r="DN17" s="22">
        <f t="shared" si="47"/>
        <v>4.8837209302325579</v>
      </c>
      <c r="DO17" s="22">
        <f t="shared" si="48"/>
        <v>3.0573248407643312E-2</v>
      </c>
      <c r="DP17" s="20">
        <f t="shared" si="49"/>
        <v>665.81395348837214</v>
      </c>
      <c r="DQ17" s="22">
        <f t="shared" si="50"/>
        <v>18.235668789808916</v>
      </c>
      <c r="DR17" s="22">
        <f t="shared" si="51"/>
        <v>38.941010066509577</v>
      </c>
      <c r="DS17" s="19">
        <f t="shared" si="52"/>
        <v>1.0109201053789856</v>
      </c>
      <c r="DT17" s="23">
        <f t="shared" si="53"/>
        <v>3.4928396786587494E-4</v>
      </c>
      <c r="DU17" s="22">
        <f t="shared" si="54"/>
        <v>6.4901960784313726</v>
      </c>
      <c r="DV17" s="22">
        <f t="shared" si="80"/>
        <v>13.375</v>
      </c>
      <c r="DW17" s="22">
        <f t="shared" si="55"/>
        <v>0.97939984636559374</v>
      </c>
      <c r="DX17" s="22">
        <f t="shared" si="56"/>
        <v>96.978851963746223</v>
      </c>
      <c r="DY17" s="22">
        <f t="shared" si="57"/>
        <v>9.667673716012084</v>
      </c>
      <c r="DZ17" s="19">
        <f t="shared" si="58"/>
        <v>1.0140389496556584E-2</v>
      </c>
      <c r="EA17" s="23"/>
      <c r="EB17" s="19">
        <f t="shared" si="59"/>
        <v>9.9688473520249218E-2</v>
      </c>
      <c r="EC17" s="19">
        <f t="shared" si="60"/>
        <v>8.7910252825406432E-2</v>
      </c>
      <c r="ED17" s="19"/>
      <c r="EE17" s="19">
        <f t="shared" si="61"/>
        <v>39.042947241966161</v>
      </c>
      <c r="EF17" s="19">
        <f t="shared" si="62"/>
        <v>2.8030833917309042</v>
      </c>
      <c r="EG17" s="19">
        <f t="shared" si="63"/>
        <v>14.816297927720493</v>
      </c>
      <c r="EH17" s="19">
        <f t="shared" si="64"/>
        <v>13.414756231855041</v>
      </c>
      <c r="EI17" s="19">
        <f t="shared" si="65"/>
        <v>0.29031935128641501</v>
      </c>
      <c r="EJ17" s="19">
        <f t="shared" si="66"/>
        <v>4.1045149664631086</v>
      </c>
      <c r="EK17" s="19">
        <f t="shared" si="67"/>
        <v>12.313544899389328</v>
      </c>
      <c r="EL17" s="19">
        <f t="shared" si="68"/>
        <v>6.0066072679947942</v>
      </c>
      <c r="EM17" s="19">
        <f t="shared" si="69"/>
        <v>5.7062769045950548</v>
      </c>
      <c r="EN17" s="19">
        <f t="shared" si="70"/>
        <v>1.5016518169986985</v>
      </c>
      <c r="EO17" s="19">
        <f t="shared" si="71"/>
        <v>100</v>
      </c>
      <c r="EP17" s="19"/>
    </row>
    <row r="18" spans="1:146">
      <c r="A18" s="1" t="s">
        <v>45</v>
      </c>
      <c r="B18" s="36" t="s">
        <v>60</v>
      </c>
      <c r="C18" s="1">
        <v>1</v>
      </c>
      <c r="D18" s="1" t="s">
        <v>43</v>
      </c>
      <c r="E18" s="1" t="s">
        <v>59</v>
      </c>
      <c r="F18" s="2" t="s">
        <v>61</v>
      </c>
      <c r="G18" s="14">
        <v>39.1</v>
      </c>
      <c r="H18" s="14">
        <v>2.8</v>
      </c>
      <c r="I18" s="14">
        <v>15</v>
      </c>
      <c r="J18" s="14">
        <v>13.4</v>
      </c>
      <c r="K18" s="14">
        <v>0.28999999999999998</v>
      </c>
      <c r="L18" s="14">
        <v>4.0999999999999996</v>
      </c>
      <c r="M18" s="14">
        <v>12.3</v>
      </c>
      <c r="N18" s="14">
        <v>6</v>
      </c>
      <c r="O18" s="14">
        <v>5.7</v>
      </c>
      <c r="P18" s="14">
        <v>1.5</v>
      </c>
      <c r="Q18" s="14"/>
      <c r="R18" s="14"/>
      <c r="S18" s="15">
        <f t="shared" si="0"/>
        <v>100.19</v>
      </c>
      <c r="U18" s="86">
        <v>0.70460800000000001</v>
      </c>
      <c r="V18" s="86">
        <v>0.51262799999999997</v>
      </c>
      <c r="W18" s="14">
        <v>19.66</v>
      </c>
      <c r="X18" s="14">
        <v>15.66</v>
      </c>
      <c r="Y18" s="14">
        <v>39.6</v>
      </c>
      <c r="Z18" s="14">
        <f t="shared" si="73"/>
        <v>2.0142421159715158</v>
      </c>
      <c r="AA18" s="14">
        <f t="shared" si="74"/>
        <v>0.79654120040691756</v>
      </c>
      <c r="AB18" s="14">
        <f t="shared" si="75"/>
        <v>3.7856000000001444</v>
      </c>
      <c r="AC18" s="14">
        <f t="shared" si="76"/>
        <v>20.405999999999835</v>
      </c>
      <c r="AD18" s="14"/>
      <c r="AF18" s="19">
        <f t="shared" si="1"/>
        <v>0.41625042811957408</v>
      </c>
      <c r="AG18" s="20">
        <f t="shared" si="2"/>
        <v>16786</v>
      </c>
      <c r="AH18" s="20">
        <f t="shared" si="3"/>
        <v>47321.4</v>
      </c>
      <c r="AI18" s="20">
        <f t="shared" si="77"/>
        <v>6546</v>
      </c>
      <c r="AJ18" s="19">
        <f t="shared" si="4"/>
        <v>11.7</v>
      </c>
      <c r="AK18" s="19">
        <f t="shared" si="5"/>
        <v>0.95000000000000007</v>
      </c>
      <c r="AL18" s="19">
        <f t="shared" si="6"/>
        <v>1.0526315789473684</v>
      </c>
      <c r="AM18" s="19">
        <f t="shared" si="7"/>
        <v>0.82</v>
      </c>
      <c r="AN18" s="19">
        <f t="shared" si="8"/>
        <v>1.0693223250565724</v>
      </c>
      <c r="AO18" s="118">
        <f t="shared" si="9"/>
        <v>-1093.5949822751641</v>
      </c>
      <c r="AP18" s="118">
        <f t="shared" si="10"/>
        <v>1810.2446885266409</v>
      </c>
      <c r="AQ18" s="19">
        <f t="shared" si="11"/>
        <v>0.39059780383897724</v>
      </c>
      <c r="AR18" s="19">
        <f t="shared" si="12"/>
        <v>1.0693223250565724</v>
      </c>
      <c r="AS18" s="118">
        <f t="shared" si="13"/>
        <v>-1093.5949822751641</v>
      </c>
      <c r="AT18" s="118">
        <f t="shared" si="14"/>
        <v>1810.2446885266409</v>
      </c>
      <c r="AU18" s="14">
        <f t="shared" si="15"/>
        <v>0.14578005115089515</v>
      </c>
      <c r="AV18" s="14">
        <f t="shared" si="16"/>
        <v>0.41130360934182586</v>
      </c>
      <c r="AX18" s="118">
        <v>144</v>
      </c>
      <c r="AY18" s="118">
        <v>2901</v>
      </c>
      <c r="AZ18" s="118">
        <v>3445</v>
      </c>
      <c r="BB18" s="118"/>
      <c r="BC18" s="118"/>
      <c r="BE18" s="118"/>
      <c r="BF18" s="118"/>
      <c r="BG18" s="118"/>
      <c r="BH18" s="118"/>
      <c r="BI18" s="118">
        <v>45</v>
      </c>
      <c r="BJ18" s="118">
        <v>340</v>
      </c>
      <c r="BK18" s="118">
        <v>330</v>
      </c>
      <c r="BL18" s="117">
        <v>4.5</v>
      </c>
      <c r="BM18" s="117">
        <v>23</v>
      </c>
      <c r="BN18" s="117">
        <v>207</v>
      </c>
      <c r="BO18" s="117">
        <v>482</v>
      </c>
      <c r="BP18" s="117">
        <v>43</v>
      </c>
      <c r="BQ18" s="117">
        <v>143</v>
      </c>
      <c r="BR18" s="14">
        <v>20</v>
      </c>
      <c r="BS18" s="14">
        <v>5.2</v>
      </c>
      <c r="BT18" s="117">
        <v>13.6</v>
      </c>
      <c r="BU18" s="14">
        <v>1.87</v>
      </c>
      <c r="BV18" s="14">
        <v>10.1</v>
      </c>
      <c r="BW18" s="14">
        <v>1.85</v>
      </c>
      <c r="BX18" s="14">
        <v>4.3</v>
      </c>
      <c r="BY18" s="14">
        <v>0.61</v>
      </c>
      <c r="BZ18" s="14">
        <v>3.7</v>
      </c>
      <c r="CA18" s="14">
        <v>0.51</v>
      </c>
      <c r="CB18" s="117">
        <v>6.4</v>
      </c>
      <c r="CC18" s="117">
        <v>27</v>
      </c>
      <c r="CD18" s="118">
        <v>9.5</v>
      </c>
      <c r="CE18" s="118"/>
      <c r="CF18" s="118"/>
      <c r="CG18" s="22">
        <f t="shared" si="17"/>
        <v>667.74193548387098</v>
      </c>
      <c r="CH18" s="22">
        <f t="shared" si="18"/>
        <v>596.53465346534654</v>
      </c>
      <c r="CI18" s="22">
        <f t="shared" si="19"/>
        <v>352.45901639344265</v>
      </c>
      <c r="CJ18" s="22">
        <f t="shared" si="20"/>
        <v>238.33333333333334</v>
      </c>
      <c r="CK18" s="22">
        <f t="shared" si="72"/>
        <v>102.56410256410255</v>
      </c>
      <c r="CL18" s="22">
        <f t="shared" si="21"/>
        <v>70.270270270270274</v>
      </c>
      <c r="CM18" s="22">
        <f t="shared" si="22"/>
        <v>52.509652509652504</v>
      </c>
      <c r="CN18" s="22">
        <f t="shared" si="23"/>
        <v>39.451476793248951</v>
      </c>
      <c r="CO18" s="22">
        <f t="shared" si="24"/>
        <v>31.366459627329192</v>
      </c>
      <c r="CP18" s="22">
        <f t="shared" si="25"/>
        <v>25.766016713091922</v>
      </c>
      <c r="CQ18" s="22">
        <f t="shared" si="26"/>
        <v>20.476190476190474</v>
      </c>
      <c r="CR18" s="22">
        <f t="shared" si="27"/>
        <v>18.827160493827162</v>
      </c>
      <c r="CS18" s="22">
        <f t="shared" si="28"/>
        <v>17.703349282296653</v>
      </c>
      <c r="CT18" s="22">
        <f t="shared" si="29"/>
        <v>15.9375</v>
      </c>
      <c r="CU18" s="22">
        <f t="shared" si="30"/>
        <v>10.439393939393939</v>
      </c>
      <c r="CV18" s="117">
        <f t="shared" si="31"/>
        <v>16.642512077294686</v>
      </c>
      <c r="CW18" s="22">
        <f t="shared" si="32"/>
        <v>0.62727272727272732</v>
      </c>
      <c r="CX18" s="20">
        <f t="shared" si="33"/>
        <v>50.866666666666667</v>
      </c>
      <c r="CY18" s="22">
        <f t="shared" si="34"/>
        <v>75.3125</v>
      </c>
      <c r="CZ18" s="22">
        <f t="shared" si="35"/>
        <v>34.736842105263158</v>
      </c>
      <c r="DA18" s="22">
        <f t="shared" si="36"/>
        <v>7.2</v>
      </c>
      <c r="DB18" s="22">
        <f t="shared" si="37"/>
        <v>1.0303030303030303</v>
      </c>
      <c r="DC18" s="22">
        <f t="shared" si="38"/>
        <v>127.5925925925926</v>
      </c>
      <c r="DD18" s="22">
        <f t="shared" si="78"/>
        <v>1.173913043478261</v>
      </c>
      <c r="DE18" s="22">
        <f t="shared" si="79"/>
        <v>6.2162162162162158</v>
      </c>
      <c r="DF18" s="22">
        <f t="shared" si="39"/>
        <v>7.2972972972972974</v>
      </c>
      <c r="DG18" s="19">
        <f t="shared" si="40"/>
        <v>7.333333333333333</v>
      </c>
      <c r="DH18" s="20">
        <f t="shared" si="41"/>
        <v>228.60579710144927</v>
      </c>
      <c r="DI18" s="19">
        <f t="shared" si="42"/>
        <v>1.9277257847506062</v>
      </c>
      <c r="DJ18" s="22">
        <f t="shared" si="43"/>
        <v>405.88235294117646</v>
      </c>
      <c r="DK18" s="22">
        <f t="shared" si="44"/>
        <v>41.89753320683112</v>
      </c>
      <c r="DL18" s="22">
        <f t="shared" si="45"/>
        <v>6.5104838709677422</v>
      </c>
      <c r="DM18" s="22">
        <f t="shared" si="46"/>
        <v>55.945945945945944</v>
      </c>
      <c r="DN18" s="22">
        <f t="shared" si="47"/>
        <v>5.4054054054054053</v>
      </c>
      <c r="DO18" s="22">
        <f t="shared" si="48"/>
        <v>3.1468531468531472E-2</v>
      </c>
      <c r="DP18" s="20">
        <f t="shared" si="49"/>
        <v>784.05405405405406</v>
      </c>
      <c r="DQ18" s="22">
        <f t="shared" si="50"/>
        <v>20.286713286713287</v>
      </c>
      <c r="DR18" s="22">
        <f t="shared" si="51"/>
        <v>39.530332243706155</v>
      </c>
      <c r="DS18" s="19">
        <f t="shared" si="52"/>
        <v>0.95753434355008993</v>
      </c>
      <c r="DT18" s="23">
        <f t="shared" si="53"/>
        <v>3.4470872113064461E-4</v>
      </c>
      <c r="DU18" s="22">
        <f t="shared" si="54"/>
        <v>7.5555555555555554</v>
      </c>
      <c r="DV18" s="22">
        <f t="shared" si="80"/>
        <v>14.347826086956522</v>
      </c>
      <c r="DW18" s="22">
        <f t="shared" si="55"/>
        <v>0.91902993183007387</v>
      </c>
      <c r="DX18" s="22">
        <f t="shared" si="56"/>
        <v>97.058823529411768</v>
      </c>
      <c r="DY18" s="22">
        <f t="shared" si="57"/>
        <v>7.9411764705882355</v>
      </c>
      <c r="DZ18" s="19">
        <f t="shared" si="58"/>
        <v>9.97759548137408E-3</v>
      </c>
      <c r="EA18" s="23"/>
      <c r="EB18" s="19">
        <f t="shared" si="59"/>
        <v>8.1818181818181818E-2</v>
      </c>
      <c r="EC18" s="19">
        <f t="shared" si="60"/>
        <v>9.6927124907146167E-2</v>
      </c>
      <c r="ED18" s="19"/>
      <c r="EE18" s="19">
        <f t="shared" si="61"/>
        <v>39.025850883321688</v>
      </c>
      <c r="EF18" s="19">
        <f t="shared" si="62"/>
        <v>2.7946900888312207</v>
      </c>
      <c r="EG18" s="19">
        <f t="shared" si="63"/>
        <v>14.971554047310111</v>
      </c>
      <c r="EH18" s="19">
        <f t="shared" si="64"/>
        <v>13.3745882822637</v>
      </c>
      <c r="EI18" s="19">
        <f t="shared" si="65"/>
        <v>0.28945004491466209</v>
      </c>
      <c r="EJ18" s="19">
        <f t="shared" si="66"/>
        <v>4.0922247729314298</v>
      </c>
      <c r="EK18" s="19">
        <f t="shared" si="67"/>
        <v>12.27667431879429</v>
      </c>
      <c r="EL18" s="19">
        <f t="shared" si="68"/>
        <v>5.9886216189240447</v>
      </c>
      <c r="EM18" s="19">
        <f t="shared" si="69"/>
        <v>5.6891905379778418</v>
      </c>
      <c r="EN18" s="19">
        <f t="shared" si="70"/>
        <v>1.4971554047310112</v>
      </c>
      <c r="EO18" s="19">
        <f t="shared" si="71"/>
        <v>100</v>
      </c>
      <c r="EP18" s="19"/>
    </row>
    <row r="19" spans="1:146">
      <c r="A19" s="1" t="s">
        <v>45</v>
      </c>
      <c r="B19" s="36" t="s">
        <v>60</v>
      </c>
      <c r="C19" s="1">
        <v>1</v>
      </c>
      <c r="D19" s="1" t="s">
        <v>43</v>
      </c>
      <c r="E19" s="1" t="s">
        <v>59</v>
      </c>
      <c r="F19" s="2" t="s">
        <v>61</v>
      </c>
      <c r="G19" s="14">
        <v>38.9</v>
      </c>
      <c r="H19" s="14">
        <v>2.8</v>
      </c>
      <c r="I19" s="14">
        <v>15.4</v>
      </c>
      <c r="J19" s="14">
        <v>13.3</v>
      </c>
      <c r="K19" s="14">
        <v>0.28999999999999998</v>
      </c>
      <c r="L19" s="14">
        <v>4.0999999999999996</v>
      </c>
      <c r="M19" s="14">
        <v>12.2</v>
      </c>
      <c r="N19" s="14">
        <v>5.9</v>
      </c>
      <c r="O19" s="14">
        <v>5.4</v>
      </c>
      <c r="P19" s="14">
        <v>1.5</v>
      </c>
      <c r="Q19" s="14"/>
      <c r="R19" s="14"/>
      <c r="S19" s="15">
        <f t="shared" si="0"/>
        <v>99.79</v>
      </c>
      <c r="U19" s="86">
        <v>0.704573</v>
      </c>
      <c r="V19" s="86">
        <v>0.51269399999999998</v>
      </c>
      <c r="W19" s="14">
        <v>19.670000000000002</v>
      </c>
      <c r="X19" s="14">
        <v>15.68</v>
      </c>
      <c r="Y19" s="14">
        <v>39.630000000000003</v>
      </c>
      <c r="Z19" s="14">
        <f t="shared" si="73"/>
        <v>2.014743263853584</v>
      </c>
      <c r="AA19" s="14">
        <f t="shared" si="74"/>
        <v>0.7971530249110319</v>
      </c>
      <c r="AB19" s="14">
        <f t="shared" si="75"/>
        <v>5.6772000000000489</v>
      </c>
      <c r="AC19" s="14">
        <f t="shared" si="76"/>
        <v>22.196999999999889</v>
      </c>
      <c r="AD19" s="14"/>
      <c r="AF19" s="19">
        <f t="shared" si="1"/>
        <v>0.41807169058520421</v>
      </c>
      <c r="AG19" s="20">
        <f t="shared" si="2"/>
        <v>16786</v>
      </c>
      <c r="AH19" s="20">
        <f t="shared" si="3"/>
        <v>44830.8</v>
      </c>
      <c r="AI19" s="20">
        <f t="shared" si="77"/>
        <v>6546</v>
      </c>
      <c r="AJ19" s="19">
        <f t="shared" si="4"/>
        <v>11.3</v>
      </c>
      <c r="AK19" s="19">
        <f t="shared" si="5"/>
        <v>0.9152542372881356</v>
      </c>
      <c r="AL19" s="19">
        <f t="shared" si="6"/>
        <v>1.0925925925925926</v>
      </c>
      <c r="AM19" s="19">
        <f t="shared" si="7"/>
        <v>0.79220779220779236</v>
      </c>
      <c r="AN19" s="19">
        <f t="shared" si="8"/>
        <v>1.0097803130599823</v>
      </c>
      <c r="AO19" s="118">
        <f t="shared" si="9"/>
        <v>-1004.2859505500165</v>
      </c>
      <c r="AP19" s="118">
        <f t="shared" si="10"/>
        <v>1814.6421146507221</v>
      </c>
      <c r="AQ19" s="19">
        <f t="shared" si="11"/>
        <v>0.40814548209202112</v>
      </c>
      <c r="AR19" s="19">
        <f t="shared" si="12"/>
        <v>1.0097803130599823</v>
      </c>
      <c r="AS19" s="118">
        <f t="shared" si="13"/>
        <v>-1004.2859505500165</v>
      </c>
      <c r="AT19" s="118">
        <f t="shared" si="14"/>
        <v>1814.6421146507221</v>
      </c>
      <c r="AU19" s="14">
        <f t="shared" si="15"/>
        <v>0.13881748071979436</v>
      </c>
      <c r="AV19" s="14">
        <f t="shared" si="16"/>
        <v>0.37953511456696165</v>
      </c>
      <c r="AX19" s="118">
        <v>176</v>
      </c>
      <c r="AY19" s="118">
        <v>2895</v>
      </c>
      <c r="AZ19" s="118">
        <v>3363</v>
      </c>
      <c r="BB19" s="118"/>
      <c r="BC19" s="118"/>
      <c r="BE19" s="118"/>
      <c r="BF19" s="118"/>
      <c r="BG19" s="118"/>
      <c r="BH19" s="118"/>
      <c r="BI19" s="118">
        <v>52</v>
      </c>
      <c r="BJ19" s="118">
        <v>334</v>
      </c>
      <c r="BK19" s="118">
        <v>321</v>
      </c>
      <c r="BL19" s="117">
        <v>4.5999999999999996</v>
      </c>
      <c r="BM19" s="117">
        <v>23</v>
      </c>
      <c r="BN19" s="117">
        <v>229</v>
      </c>
      <c r="BO19" s="117">
        <v>478</v>
      </c>
      <c r="BP19" s="117">
        <v>46</v>
      </c>
      <c r="BQ19" s="117">
        <v>155</v>
      </c>
      <c r="BR19" s="14">
        <v>21</v>
      </c>
      <c r="BS19" s="14">
        <v>5.7</v>
      </c>
      <c r="BT19" s="117">
        <v>13</v>
      </c>
      <c r="BU19" s="14">
        <v>1.81</v>
      </c>
      <c r="BV19" s="14">
        <v>10.7</v>
      </c>
      <c r="BW19" s="14">
        <v>2.1</v>
      </c>
      <c r="BX19" s="14">
        <v>5.0999999999999996</v>
      </c>
      <c r="BY19" s="14">
        <v>0.7</v>
      </c>
      <c r="BZ19" s="14">
        <v>4.0999999999999996</v>
      </c>
      <c r="CA19" s="14">
        <v>0.57999999999999996</v>
      </c>
      <c r="CB19" s="117">
        <v>5.9</v>
      </c>
      <c r="CC19" s="117">
        <v>31</v>
      </c>
      <c r="CD19" s="118">
        <v>10.8</v>
      </c>
      <c r="CE19" s="118"/>
      <c r="CF19" s="118"/>
      <c r="CG19" s="22">
        <f t="shared" si="17"/>
        <v>738.70967741935488</v>
      </c>
      <c r="CH19" s="22">
        <f t="shared" si="18"/>
        <v>591.58415841584156</v>
      </c>
      <c r="CI19" s="22">
        <f t="shared" si="19"/>
        <v>377.04918032786884</v>
      </c>
      <c r="CJ19" s="22">
        <f t="shared" si="20"/>
        <v>258.33333333333337</v>
      </c>
      <c r="CK19" s="22">
        <f t="shared" si="72"/>
        <v>107.69230769230769</v>
      </c>
      <c r="CL19" s="22">
        <f t="shared" si="21"/>
        <v>77.027027027027032</v>
      </c>
      <c r="CM19" s="22">
        <f t="shared" si="22"/>
        <v>50.19305019305019</v>
      </c>
      <c r="CN19" s="22">
        <f t="shared" si="23"/>
        <v>38.185654008438824</v>
      </c>
      <c r="CO19" s="22">
        <f t="shared" si="24"/>
        <v>33.229813664596271</v>
      </c>
      <c r="CP19" s="22">
        <f t="shared" si="25"/>
        <v>29.247910863509748</v>
      </c>
      <c r="CQ19" s="22">
        <f t="shared" si="26"/>
        <v>24.285714285714285</v>
      </c>
      <c r="CR19" s="22">
        <f t="shared" si="27"/>
        <v>21.604938271604937</v>
      </c>
      <c r="CS19" s="22">
        <f t="shared" si="28"/>
        <v>19.617224880382775</v>
      </c>
      <c r="CT19" s="22">
        <f t="shared" si="29"/>
        <v>18.125</v>
      </c>
      <c r="CU19" s="22">
        <f t="shared" si="30"/>
        <v>10.476635514018692</v>
      </c>
      <c r="CV19" s="117">
        <f t="shared" si="31"/>
        <v>14.685589519650655</v>
      </c>
      <c r="CW19" s="22">
        <f t="shared" si="32"/>
        <v>0.71339563862928346</v>
      </c>
      <c r="CX19" s="20">
        <f t="shared" si="33"/>
        <v>52.292834890965729</v>
      </c>
      <c r="CY19" s="22">
        <f t="shared" si="34"/>
        <v>81.016949152542367</v>
      </c>
      <c r="CZ19" s="22">
        <f t="shared" si="35"/>
        <v>29.722222222222221</v>
      </c>
      <c r="DA19" s="22">
        <f t="shared" si="36"/>
        <v>8.3809523809523814</v>
      </c>
      <c r="DB19" s="22">
        <f t="shared" si="37"/>
        <v>1.0404984423676011</v>
      </c>
      <c r="DC19" s="22">
        <f t="shared" si="38"/>
        <v>108.48387096774194</v>
      </c>
      <c r="DD19" s="22">
        <f t="shared" si="78"/>
        <v>1.3478260869565217</v>
      </c>
      <c r="DE19" s="22">
        <f t="shared" si="79"/>
        <v>5.6097560975609762</v>
      </c>
      <c r="DF19" s="22">
        <f t="shared" si="39"/>
        <v>7.5609756097560981</v>
      </c>
      <c r="DG19" s="19">
        <f t="shared" si="40"/>
        <v>6.1730769230769234</v>
      </c>
      <c r="DH19" s="20">
        <f t="shared" si="41"/>
        <v>195.76768558951966</v>
      </c>
      <c r="DI19" s="19">
        <f t="shared" si="42"/>
        <v>1.8068696444320329</v>
      </c>
      <c r="DJ19" s="22">
        <f t="shared" si="43"/>
        <v>394.82758620689657</v>
      </c>
      <c r="DK19" s="22">
        <f t="shared" si="44"/>
        <v>40.756395995550612</v>
      </c>
      <c r="DL19" s="22">
        <f t="shared" si="45"/>
        <v>6.8594470046082954</v>
      </c>
      <c r="DM19" s="22">
        <f t="shared" si="46"/>
        <v>55.853658536585371</v>
      </c>
      <c r="DN19" s="22">
        <f t="shared" si="47"/>
        <v>5.1219512195121952</v>
      </c>
      <c r="DO19" s="22">
        <f t="shared" si="48"/>
        <v>2.9677419354838707E-2</v>
      </c>
      <c r="DP19" s="20">
        <f t="shared" si="49"/>
        <v>706.09756097560978</v>
      </c>
      <c r="DQ19" s="22">
        <f t="shared" si="50"/>
        <v>18.677419354838708</v>
      </c>
      <c r="DR19" s="22">
        <f t="shared" si="51"/>
        <v>39.376257122789113</v>
      </c>
      <c r="DS19" s="19">
        <f t="shared" si="52"/>
        <v>1.047680836483676</v>
      </c>
      <c r="DT19" s="23">
        <f t="shared" si="53"/>
        <v>3.4542314335060447E-4</v>
      </c>
      <c r="DU19" s="22">
        <f t="shared" si="54"/>
        <v>6.4230769230769234</v>
      </c>
      <c r="DV19" s="22">
        <f t="shared" si="80"/>
        <v>13.956521739130435</v>
      </c>
      <c r="DW19" s="22">
        <f t="shared" si="55"/>
        <v>0.97963489227068368</v>
      </c>
      <c r="DX19" s="22">
        <f t="shared" si="56"/>
        <v>96.107784431137731</v>
      </c>
      <c r="DY19" s="22">
        <f t="shared" si="57"/>
        <v>9.2814371257485035</v>
      </c>
      <c r="DZ19" s="19">
        <f t="shared" si="58"/>
        <v>1.0038351695728559E-2</v>
      </c>
      <c r="EA19" s="23"/>
      <c r="EB19" s="19">
        <f t="shared" si="59"/>
        <v>9.657320872274143E-2</v>
      </c>
      <c r="EC19" s="19">
        <f t="shared" si="60"/>
        <v>8.6752550368445133E-2</v>
      </c>
      <c r="ED19" s="19"/>
      <c r="EE19" s="19">
        <f t="shared" si="61"/>
        <v>38.98186191001102</v>
      </c>
      <c r="EF19" s="19">
        <f t="shared" si="62"/>
        <v>2.8058923739853689</v>
      </c>
      <c r="EG19" s="19">
        <f t="shared" si="63"/>
        <v>15.432408056919529</v>
      </c>
      <c r="EH19" s="19">
        <f t="shared" si="64"/>
        <v>13.327988776430503</v>
      </c>
      <c r="EI19" s="19">
        <f t="shared" si="65"/>
        <v>0.29061028159134178</v>
      </c>
      <c r="EJ19" s="19">
        <f t="shared" si="66"/>
        <v>4.108628119050004</v>
      </c>
      <c r="EK19" s="19">
        <f t="shared" si="67"/>
        <v>12.225673915221966</v>
      </c>
      <c r="EL19" s="19">
        <f t="shared" si="68"/>
        <v>5.9124160737548852</v>
      </c>
      <c r="EM19" s="19">
        <f t="shared" si="69"/>
        <v>5.41136386411464</v>
      </c>
      <c r="EN19" s="19">
        <f t="shared" si="70"/>
        <v>1.5031566289207334</v>
      </c>
      <c r="EO19" s="19">
        <f t="shared" si="71"/>
        <v>99.999999999999986</v>
      </c>
      <c r="EP19" s="19"/>
    </row>
    <row r="20" spans="1:146">
      <c r="A20" s="1" t="s">
        <v>45</v>
      </c>
      <c r="B20" s="36" t="s">
        <v>60</v>
      </c>
      <c r="C20" s="1">
        <v>1</v>
      </c>
      <c r="D20" s="1" t="s">
        <v>43</v>
      </c>
      <c r="E20" s="1" t="s">
        <v>59</v>
      </c>
      <c r="F20" s="2" t="s">
        <v>61</v>
      </c>
      <c r="G20" s="14">
        <v>39.200000000000003</v>
      </c>
      <c r="H20" s="14">
        <v>2.8</v>
      </c>
      <c r="I20" s="14">
        <v>15.6</v>
      </c>
      <c r="J20" s="14">
        <v>13.3</v>
      </c>
      <c r="K20" s="14">
        <v>0.28999999999999998</v>
      </c>
      <c r="L20" s="14">
        <v>4.0999999999999996</v>
      </c>
      <c r="M20" s="14">
        <v>12.2</v>
      </c>
      <c r="N20" s="14">
        <v>5.7</v>
      </c>
      <c r="O20" s="14">
        <v>5.4</v>
      </c>
      <c r="P20" s="14">
        <v>1.5</v>
      </c>
      <c r="Q20" s="14"/>
      <c r="R20" s="14"/>
      <c r="S20" s="15">
        <f t="shared" si="0"/>
        <v>100.09000000000002</v>
      </c>
      <c r="U20" s="86">
        <v>0.70467400000000002</v>
      </c>
      <c r="V20" s="86">
        <v>0.51273199999999997</v>
      </c>
      <c r="W20" s="14">
        <v>19.66</v>
      </c>
      <c r="X20" s="14">
        <v>15.66</v>
      </c>
      <c r="Y20" s="14">
        <v>39.6</v>
      </c>
      <c r="Z20" s="14">
        <f t="shared" si="73"/>
        <v>2.0142421159715158</v>
      </c>
      <c r="AA20" s="14">
        <f t="shared" si="74"/>
        <v>0.79654120040691756</v>
      </c>
      <c r="AB20" s="14">
        <f t="shared" si="75"/>
        <v>3.7856000000001444</v>
      </c>
      <c r="AC20" s="14">
        <f t="shared" si="76"/>
        <v>20.405999999999835</v>
      </c>
      <c r="AD20" s="14"/>
      <c r="AF20" s="19">
        <f t="shared" si="1"/>
        <v>0.41807169058520421</v>
      </c>
      <c r="AG20" s="20">
        <f t="shared" si="2"/>
        <v>16786</v>
      </c>
      <c r="AH20" s="20">
        <f t="shared" si="3"/>
        <v>44830.8</v>
      </c>
      <c r="AI20" s="20">
        <f t="shared" si="77"/>
        <v>6546</v>
      </c>
      <c r="AJ20" s="19">
        <f t="shared" si="4"/>
        <v>11.100000000000001</v>
      </c>
      <c r="AK20" s="19">
        <f t="shared" si="5"/>
        <v>0.94736842105263164</v>
      </c>
      <c r="AL20" s="19">
        <f t="shared" si="6"/>
        <v>1.0555555555555556</v>
      </c>
      <c r="AM20" s="19">
        <f t="shared" si="7"/>
        <v>0.78205128205128205</v>
      </c>
      <c r="AN20" s="19">
        <f t="shared" si="8"/>
        <v>0.97574406815809944</v>
      </c>
      <c r="AO20" s="118">
        <f t="shared" si="9"/>
        <v>-910.3935848433315</v>
      </c>
      <c r="AP20" s="118">
        <f t="shared" si="10"/>
        <v>1813.1226629141565</v>
      </c>
      <c r="AQ20" s="19">
        <f t="shared" si="11"/>
        <v>0.41708291890206922</v>
      </c>
      <c r="AR20" s="19">
        <f t="shared" si="12"/>
        <v>0.97574406815809944</v>
      </c>
      <c r="AS20" s="118">
        <f t="shared" si="13"/>
        <v>-910.3935848433315</v>
      </c>
      <c r="AT20" s="118">
        <f t="shared" si="14"/>
        <v>1813.1226629141565</v>
      </c>
      <c r="AU20" s="14">
        <f t="shared" si="15"/>
        <v>0.13775510204081631</v>
      </c>
      <c r="AV20" s="14">
        <f t="shared" si="16"/>
        <v>0.37466927976482117</v>
      </c>
      <c r="AX20" s="118">
        <v>136</v>
      </c>
      <c r="AY20" s="118">
        <v>2446</v>
      </c>
      <c r="AZ20" s="118">
        <v>2200</v>
      </c>
      <c r="BB20" s="118"/>
      <c r="BC20" s="118"/>
      <c r="BE20" s="118"/>
      <c r="BF20" s="118"/>
      <c r="BG20" s="118"/>
      <c r="BH20" s="118"/>
      <c r="BI20" s="118">
        <v>35</v>
      </c>
      <c r="BJ20" s="118">
        <v>310</v>
      </c>
      <c r="BK20" s="118">
        <v>319</v>
      </c>
      <c r="BL20" s="117">
        <v>4.3</v>
      </c>
      <c r="BM20" s="117">
        <v>22</v>
      </c>
      <c r="BN20" s="117">
        <v>229</v>
      </c>
      <c r="BO20" s="117">
        <v>373</v>
      </c>
      <c r="BP20" s="117">
        <v>37</v>
      </c>
      <c r="BQ20" s="117">
        <v>125</v>
      </c>
      <c r="BR20" s="14">
        <v>18</v>
      </c>
      <c r="BS20" s="14">
        <v>4.8</v>
      </c>
      <c r="BT20" s="117">
        <v>11.9</v>
      </c>
      <c r="BU20" s="14">
        <v>1.49</v>
      </c>
      <c r="BV20" s="14">
        <v>7</v>
      </c>
      <c r="BW20" s="14">
        <v>1.29</v>
      </c>
      <c r="BX20" s="14">
        <v>3.2</v>
      </c>
      <c r="BY20" s="14">
        <v>0.43</v>
      </c>
      <c r="BZ20" s="14">
        <v>2.6</v>
      </c>
      <c r="CA20" s="14">
        <v>0.37</v>
      </c>
      <c r="CB20" s="117">
        <v>6.2</v>
      </c>
      <c r="CC20" s="117">
        <v>22</v>
      </c>
      <c r="CD20" s="118">
        <v>10.199999999999999</v>
      </c>
      <c r="CE20" s="118"/>
      <c r="CF20" s="118"/>
      <c r="CG20" s="22">
        <f t="shared" si="17"/>
        <v>738.70967741935488</v>
      </c>
      <c r="CH20" s="22">
        <f t="shared" si="18"/>
        <v>461.63366336633658</v>
      </c>
      <c r="CI20" s="22">
        <f t="shared" si="19"/>
        <v>303.27868852459017</v>
      </c>
      <c r="CJ20" s="22">
        <f t="shared" si="20"/>
        <v>208.33333333333334</v>
      </c>
      <c r="CK20" s="22">
        <f t="shared" si="72"/>
        <v>92.307692307692307</v>
      </c>
      <c r="CL20" s="22">
        <f t="shared" si="21"/>
        <v>64.86486486486487</v>
      </c>
      <c r="CM20" s="22">
        <f t="shared" si="22"/>
        <v>45.945945945945944</v>
      </c>
      <c r="CN20" s="22">
        <f t="shared" si="23"/>
        <v>31.434599156118146</v>
      </c>
      <c r="CO20" s="22">
        <f t="shared" si="24"/>
        <v>21.739130434782609</v>
      </c>
      <c r="CP20" s="22">
        <f t="shared" si="25"/>
        <v>17.966573816155989</v>
      </c>
      <c r="CQ20" s="22">
        <f t="shared" si="26"/>
        <v>15.238095238095239</v>
      </c>
      <c r="CR20" s="22">
        <f t="shared" si="27"/>
        <v>13.271604938271606</v>
      </c>
      <c r="CS20" s="22">
        <f t="shared" si="28"/>
        <v>12.440191387559809</v>
      </c>
      <c r="CT20" s="22">
        <f t="shared" si="29"/>
        <v>11.5625</v>
      </c>
      <c r="CU20" s="22">
        <f t="shared" si="30"/>
        <v>6.8965517241379306</v>
      </c>
      <c r="CV20" s="117">
        <f t="shared" si="31"/>
        <v>9.606986899563319</v>
      </c>
      <c r="CW20" s="22">
        <f t="shared" si="32"/>
        <v>0.7178683385579937</v>
      </c>
      <c r="CX20" s="20">
        <f t="shared" si="33"/>
        <v>52.620689655172413</v>
      </c>
      <c r="CY20" s="22">
        <f t="shared" si="34"/>
        <v>60.161290322580641</v>
      </c>
      <c r="CZ20" s="22">
        <f t="shared" si="35"/>
        <v>31.274509803921571</v>
      </c>
      <c r="DA20" s="22">
        <f t="shared" si="36"/>
        <v>7.5555555555555554</v>
      </c>
      <c r="DB20" s="22">
        <f t="shared" si="37"/>
        <v>0.97178683385579934</v>
      </c>
      <c r="DC20" s="22">
        <f t="shared" si="38"/>
        <v>100</v>
      </c>
      <c r="DD20" s="22">
        <f t="shared" si="78"/>
        <v>1</v>
      </c>
      <c r="DE20" s="22">
        <f t="shared" si="79"/>
        <v>8.4615384615384617</v>
      </c>
      <c r="DF20" s="22">
        <f t="shared" si="39"/>
        <v>8.4615384615384617</v>
      </c>
      <c r="DG20" s="19">
        <f t="shared" si="40"/>
        <v>9.1142857142857139</v>
      </c>
      <c r="DH20" s="20">
        <f t="shared" si="41"/>
        <v>195.76768558951966</v>
      </c>
      <c r="DI20" s="19">
        <f t="shared" si="42"/>
        <v>1.8476693912279678</v>
      </c>
      <c r="DJ20" s="22">
        <f t="shared" si="43"/>
        <v>618.91891891891896</v>
      </c>
      <c r="DK20" s="22">
        <f t="shared" si="44"/>
        <v>63.888404533565826</v>
      </c>
      <c r="DL20" s="22">
        <f t="shared" si="45"/>
        <v>8.0026881720430119</v>
      </c>
      <c r="DM20" s="22">
        <f t="shared" si="46"/>
        <v>88.07692307692308</v>
      </c>
      <c r="DN20" s="22">
        <f t="shared" si="47"/>
        <v>6.9230769230769225</v>
      </c>
      <c r="DO20" s="22">
        <f t="shared" si="48"/>
        <v>3.44E-2</v>
      </c>
      <c r="DP20" s="20">
        <f t="shared" si="49"/>
        <v>940.76923076923072</v>
      </c>
      <c r="DQ20" s="22">
        <f t="shared" si="50"/>
        <v>19.568000000000001</v>
      </c>
      <c r="DR20" s="22">
        <f t="shared" si="51"/>
        <v>37.558990177283185</v>
      </c>
      <c r="DS20" s="19">
        <f t="shared" si="52"/>
        <v>0.99601750707696679</v>
      </c>
      <c r="DT20" s="23">
        <f t="shared" si="53"/>
        <v>4.0883074407195422E-4</v>
      </c>
      <c r="DU20" s="22">
        <f t="shared" si="54"/>
        <v>8.8571428571428577</v>
      </c>
      <c r="DV20" s="22">
        <f t="shared" si="80"/>
        <v>14.5</v>
      </c>
      <c r="DW20" s="22">
        <f t="shared" si="55"/>
        <v>0.8809188316976313</v>
      </c>
      <c r="DX20" s="22">
        <f t="shared" si="56"/>
        <v>102.90322580645162</v>
      </c>
      <c r="DY20" s="22">
        <f t="shared" si="57"/>
        <v>7.096774193548387</v>
      </c>
      <c r="DZ20" s="19">
        <f t="shared" si="58"/>
        <v>1.1845430690465248E-2</v>
      </c>
      <c r="EA20" s="23"/>
      <c r="EB20" s="19">
        <f t="shared" si="59"/>
        <v>6.8965517241379309E-2</v>
      </c>
      <c r="EC20" s="19">
        <f t="shared" si="60"/>
        <v>0.1150693116653978</v>
      </c>
      <c r="ED20" s="19"/>
      <c r="EE20" s="19">
        <f t="shared" si="61"/>
        <v>39.164751723448894</v>
      </c>
      <c r="EF20" s="19">
        <f t="shared" si="62"/>
        <v>2.7974822659606349</v>
      </c>
      <c r="EG20" s="19">
        <f t="shared" si="63"/>
        <v>15.585972624637824</v>
      </c>
      <c r="EH20" s="19">
        <f t="shared" si="64"/>
        <v>13.288040763313015</v>
      </c>
      <c r="EI20" s="19">
        <f t="shared" si="65"/>
        <v>0.28973923468877999</v>
      </c>
      <c r="EJ20" s="19">
        <f t="shared" si="66"/>
        <v>4.0963133180137863</v>
      </c>
      <c r="EK20" s="19">
        <f t="shared" si="67"/>
        <v>12.189029873114196</v>
      </c>
      <c r="EL20" s="19">
        <f t="shared" si="68"/>
        <v>5.6948746128484355</v>
      </c>
      <c r="EM20" s="19">
        <f t="shared" si="69"/>
        <v>5.395144370066939</v>
      </c>
      <c r="EN20" s="19">
        <f t="shared" si="70"/>
        <v>1.498651213907483</v>
      </c>
      <c r="EO20" s="19">
        <f t="shared" si="71"/>
        <v>99.999999999999986</v>
      </c>
      <c r="EP20" s="19"/>
    </row>
    <row r="21" spans="1:146">
      <c r="A21" s="1" t="s">
        <v>45</v>
      </c>
      <c r="B21" s="36" t="s">
        <v>60</v>
      </c>
      <c r="C21" s="1">
        <v>1</v>
      </c>
      <c r="D21" s="1" t="s">
        <v>43</v>
      </c>
      <c r="E21" s="1" t="s">
        <v>59</v>
      </c>
      <c r="F21" s="2" t="s">
        <v>61</v>
      </c>
      <c r="G21" s="14">
        <v>39.4</v>
      </c>
      <c r="H21" s="14">
        <v>2.9</v>
      </c>
      <c r="I21" s="14">
        <v>14.9</v>
      </c>
      <c r="J21" s="14">
        <v>13.4</v>
      </c>
      <c r="K21" s="14">
        <v>0.28000000000000003</v>
      </c>
      <c r="L21" s="14">
        <v>4.0999999999999996</v>
      </c>
      <c r="M21" s="14">
        <v>12.1</v>
      </c>
      <c r="N21" s="14">
        <v>5.8</v>
      </c>
      <c r="O21" s="14">
        <v>5.4</v>
      </c>
      <c r="P21" s="14">
        <v>1.5</v>
      </c>
      <c r="Q21" s="14"/>
      <c r="R21" s="14"/>
      <c r="S21" s="15">
        <f t="shared" si="0"/>
        <v>99.779999999999987</v>
      </c>
      <c r="U21" s="86">
        <v>0.70469400000000004</v>
      </c>
      <c r="V21" s="86">
        <v>0.51266</v>
      </c>
      <c r="W21" s="14">
        <v>19.690000000000001</v>
      </c>
      <c r="X21" s="14">
        <v>15.7</v>
      </c>
      <c r="Y21" s="14">
        <v>39.74</v>
      </c>
      <c r="Z21" s="14">
        <f t="shared" si="73"/>
        <v>2.0182833925850687</v>
      </c>
      <c r="AA21" s="14">
        <f t="shared" si="74"/>
        <v>0.79735906551548996</v>
      </c>
      <c r="AB21" s="14">
        <f t="shared" si="75"/>
        <v>7.4603999999999004</v>
      </c>
      <c r="AC21" s="14">
        <f t="shared" si="76"/>
        <v>30.778999999999712</v>
      </c>
      <c r="AD21" s="14"/>
      <c r="AF21" s="19">
        <f t="shared" si="1"/>
        <v>0.41625042811957408</v>
      </c>
      <c r="AG21" s="20">
        <f t="shared" si="2"/>
        <v>17385.5</v>
      </c>
      <c r="AH21" s="20">
        <f t="shared" si="3"/>
        <v>44830.8</v>
      </c>
      <c r="AI21" s="20">
        <f t="shared" si="77"/>
        <v>6546</v>
      </c>
      <c r="AJ21" s="19">
        <f t="shared" si="4"/>
        <v>11.2</v>
      </c>
      <c r="AK21" s="19">
        <f t="shared" si="5"/>
        <v>0.93103448275862077</v>
      </c>
      <c r="AL21" s="19">
        <f t="shared" si="6"/>
        <v>1.074074074074074</v>
      </c>
      <c r="AM21" s="19">
        <f t="shared" si="7"/>
        <v>0.81208053691275173</v>
      </c>
      <c r="AN21" s="19">
        <f t="shared" si="8"/>
        <v>1.032624975986244</v>
      </c>
      <c r="AO21" s="118">
        <f t="shared" si="9"/>
        <v>-939.21545059341236</v>
      </c>
      <c r="AP21" s="118">
        <f t="shared" si="10"/>
        <v>1794.2719954212898</v>
      </c>
      <c r="AQ21" s="19">
        <f t="shared" si="11"/>
        <v>0.39855207850105795</v>
      </c>
      <c r="AR21" s="19">
        <f t="shared" si="12"/>
        <v>1.032624975986244</v>
      </c>
      <c r="AS21" s="118">
        <f t="shared" si="13"/>
        <v>-939.21545059341236</v>
      </c>
      <c r="AT21" s="118">
        <f t="shared" si="14"/>
        <v>1794.2719954212898</v>
      </c>
      <c r="AU21" s="14">
        <f t="shared" si="15"/>
        <v>0.1370558375634518</v>
      </c>
      <c r="AV21" s="14">
        <f t="shared" si="16"/>
        <v>0.39227119223699397</v>
      </c>
      <c r="AX21" s="118">
        <v>156</v>
      </c>
      <c r="AY21" s="118">
        <v>2775</v>
      </c>
      <c r="AZ21" s="118">
        <v>3034</v>
      </c>
      <c r="BB21" s="118"/>
      <c r="BC21" s="118"/>
      <c r="BE21" s="118"/>
      <c r="BF21" s="118"/>
      <c r="BG21" s="118"/>
      <c r="BH21" s="118"/>
      <c r="BI21" s="118">
        <v>46</v>
      </c>
      <c r="BJ21" s="118">
        <v>329</v>
      </c>
      <c r="BK21" s="118">
        <v>323</v>
      </c>
      <c r="BL21" s="117">
        <v>4.3</v>
      </c>
      <c r="BM21" s="117">
        <v>23</v>
      </c>
      <c r="BN21" s="117">
        <v>217</v>
      </c>
      <c r="BO21" s="117">
        <v>477</v>
      </c>
      <c r="BP21" s="117">
        <v>44</v>
      </c>
      <c r="BQ21" s="117">
        <v>146</v>
      </c>
      <c r="BR21" s="14">
        <v>22</v>
      </c>
      <c r="BS21" s="14">
        <v>5.6</v>
      </c>
      <c r="BT21" s="117">
        <v>13.1</v>
      </c>
      <c r="BU21" s="14">
        <v>1.77</v>
      </c>
      <c r="BV21" s="14">
        <v>9.4</v>
      </c>
      <c r="BW21" s="14">
        <v>1.78</v>
      </c>
      <c r="BX21" s="14">
        <v>4.5</v>
      </c>
      <c r="BY21" s="14">
        <v>0.6</v>
      </c>
      <c r="BZ21" s="14">
        <v>3.6</v>
      </c>
      <c r="CA21" s="14">
        <v>0.48</v>
      </c>
      <c r="CB21" s="117">
        <v>6</v>
      </c>
      <c r="CC21" s="117">
        <v>28</v>
      </c>
      <c r="CD21" s="118">
        <v>10</v>
      </c>
      <c r="CE21" s="118"/>
      <c r="CF21" s="118"/>
      <c r="CG21" s="22">
        <f t="shared" si="17"/>
        <v>700</v>
      </c>
      <c r="CH21" s="22">
        <f t="shared" si="18"/>
        <v>590.34653465346526</v>
      </c>
      <c r="CI21" s="22">
        <f t="shared" si="19"/>
        <v>360.65573770491807</v>
      </c>
      <c r="CJ21" s="22">
        <f t="shared" si="20"/>
        <v>243.33333333333334</v>
      </c>
      <c r="CK21" s="22">
        <f t="shared" si="72"/>
        <v>112.82051282051282</v>
      </c>
      <c r="CL21" s="22">
        <f t="shared" si="21"/>
        <v>75.675675675675677</v>
      </c>
      <c r="CM21" s="22">
        <f t="shared" si="22"/>
        <v>50.579150579150578</v>
      </c>
      <c r="CN21" s="22">
        <f t="shared" si="23"/>
        <v>37.341772151898738</v>
      </c>
      <c r="CO21" s="22">
        <f t="shared" si="24"/>
        <v>29.19254658385093</v>
      </c>
      <c r="CP21" s="22">
        <f t="shared" si="25"/>
        <v>24.791086350974929</v>
      </c>
      <c r="CQ21" s="22">
        <f t="shared" si="26"/>
        <v>21.428571428571431</v>
      </c>
      <c r="CR21" s="22">
        <f t="shared" si="27"/>
        <v>18.518518518518519</v>
      </c>
      <c r="CS21" s="22">
        <f t="shared" si="28"/>
        <v>17.224880382775122</v>
      </c>
      <c r="CT21" s="22">
        <f t="shared" si="29"/>
        <v>15</v>
      </c>
      <c r="CU21" s="22">
        <f t="shared" si="30"/>
        <v>9.3931888544891642</v>
      </c>
      <c r="CV21" s="117">
        <f t="shared" si="31"/>
        <v>13.981566820276498</v>
      </c>
      <c r="CW21" s="22">
        <f t="shared" si="32"/>
        <v>0.67182662538699689</v>
      </c>
      <c r="CX21" s="20">
        <f t="shared" si="33"/>
        <v>53.825077399380802</v>
      </c>
      <c r="CY21" s="22">
        <f t="shared" si="34"/>
        <v>79.5</v>
      </c>
      <c r="CZ21" s="22">
        <f t="shared" si="35"/>
        <v>32.299999999999997</v>
      </c>
      <c r="DA21" s="22">
        <f t="shared" si="36"/>
        <v>7.0909090909090908</v>
      </c>
      <c r="DB21" s="22">
        <f t="shared" si="37"/>
        <v>1.0185758513931888</v>
      </c>
      <c r="DC21" s="22">
        <f t="shared" si="38"/>
        <v>108.35714285714286</v>
      </c>
      <c r="DD21" s="22">
        <f t="shared" si="78"/>
        <v>1.2173913043478262</v>
      </c>
      <c r="DE21" s="22">
        <f t="shared" si="79"/>
        <v>6.3888888888888884</v>
      </c>
      <c r="DF21" s="22">
        <f t="shared" si="39"/>
        <v>7.7777777777777777</v>
      </c>
      <c r="DG21" s="19">
        <f t="shared" si="40"/>
        <v>7.0217391304347823</v>
      </c>
      <c r="DH21" s="20">
        <f t="shared" si="41"/>
        <v>206.59354838709677</v>
      </c>
      <c r="DI21" s="19">
        <f t="shared" si="42"/>
        <v>1.8894534180554994</v>
      </c>
      <c r="DJ21" s="22">
        <f t="shared" si="43"/>
        <v>452.08333333333337</v>
      </c>
      <c r="DK21" s="22">
        <f t="shared" si="44"/>
        <v>46.666666666666664</v>
      </c>
      <c r="DL21" s="22">
        <f t="shared" si="45"/>
        <v>6.204545454545455</v>
      </c>
      <c r="DM21" s="22">
        <f t="shared" si="46"/>
        <v>60.277777777777779</v>
      </c>
      <c r="DN21" s="22">
        <f t="shared" si="47"/>
        <v>6.1111111111111107</v>
      </c>
      <c r="DO21" s="22">
        <f t="shared" si="48"/>
        <v>2.9452054794520548E-2</v>
      </c>
      <c r="DP21" s="20">
        <f t="shared" si="49"/>
        <v>770.83333333333326</v>
      </c>
      <c r="DQ21" s="22">
        <f t="shared" si="50"/>
        <v>19.006849315068493</v>
      </c>
      <c r="DR21" s="22">
        <f t="shared" si="51"/>
        <v>36.735265832874219</v>
      </c>
      <c r="DS21" s="19">
        <f t="shared" si="52"/>
        <v>1.0017895722624575</v>
      </c>
      <c r="DT21" s="23">
        <f t="shared" si="53"/>
        <v>3.6036036036036037E-4</v>
      </c>
      <c r="DU21" s="22">
        <f t="shared" si="54"/>
        <v>7.1521739130434785</v>
      </c>
      <c r="DV21" s="22">
        <f t="shared" si="80"/>
        <v>14.043478260869565</v>
      </c>
      <c r="DW21" s="22">
        <f t="shared" si="55"/>
        <v>0.94592360341420045</v>
      </c>
      <c r="DX21" s="22">
        <f t="shared" si="56"/>
        <v>98.176291793313069</v>
      </c>
      <c r="DY21" s="22">
        <f t="shared" si="57"/>
        <v>8.5106382978723403</v>
      </c>
      <c r="DZ21" s="19">
        <f t="shared" si="58"/>
        <v>1.0112337232000494E-2</v>
      </c>
      <c r="EA21" s="23"/>
      <c r="EB21" s="19">
        <f t="shared" si="59"/>
        <v>8.6687306501547989E-2</v>
      </c>
      <c r="EC21" s="19">
        <f t="shared" si="60"/>
        <v>9.0300223712669048E-2</v>
      </c>
      <c r="ED21" s="19"/>
      <c r="EE21" s="19">
        <f t="shared" si="61"/>
        <v>39.486871116456207</v>
      </c>
      <c r="EF21" s="19">
        <f t="shared" si="62"/>
        <v>2.9063940669472843</v>
      </c>
      <c r="EG21" s="19">
        <f t="shared" si="63"/>
        <v>14.932852275005013</v>
      </c>
      <c r="EH21" s="19">
        <f t="shared" si="64"/>
        <v>13.429544998997796</v>
      </c>
      <c r="EI21" s="19">
        <f t="shared" si="65"/>
        <v>0.2806173581880137</v>
      </c>
      <c r="EJ21" s="19">
        <f t="shared" si="66"/>
        <v>4.109039887753057</v>
      </c>
      <c r="EK21" s="19">
        <f t="shared" si="67"/>
        <v>12.126678693124877</v>
      </c>
      <c r="EL21" s="19">
        <f t="shared" si="68"/>
        <v>5.8127881338945686</v>
      </c>
      <c r="EM21" s="19">
        <f t="shared" si="69"/>
        <v>5.4119061936259776</v>
      </c>
      <c r="EN21" s="19">
        <f t="shared" si="70"/>
        <v>1.5033072760072161</v>
      </c>
      <c r="EO21" s="19">
        <f t="shared" si="71"/>
        <v>100.00000000000001</v>
      </c>
      <c r="EP21" s="19"/>
    </row>
    <row r="22" spans="1:146">
      <c r="A22" s="1" t="s">
        <v>45</v>
      </c>
      <c r="B22" s="36" t="s">
        <v>60</v>
      </c>
      <c r="C22" s="1">
        <v>1</v>
      </c>
      <c r="D22" s="1" t="s">
        <v>43</v>
      </c>
      <c r="E22" s="1" t="s">
        <v>59</v>
      </c>
      <c r="F22" s="2" t="s">
        <v>61</v>
      </c>
      <c r="G22" s="14">
        <v>39.5</v>
      </c>
      <c r="H22" s="14">
        <v>2.8</v>
      </c>
      <c r="I22" s="14">
        <v>14.9</v>
      </c>
      <c r="J22" s="14">
        <v>13.4</v>
      </c>
      <c r="K22" s="14">
        <v>0.28999999999999998</v>
      </c>
      <c r="L22" s="14">
        <v>4.0999999999999996</v>
      </c>
      <c r="M22" s="14">
        <v>12.1</v>
      </c>
      <c r="N22" s="14">
        <v>5.7</v>
      </c>
      <c r="O22" s="14">
        <v>5.6</v>
      </c>
      <c r="P22" s="14">
        <v>1.5</v>
      </c>
      <c r="Q22" s="14"/>
      <c r="R22" s="14"/>
      <c r="S22" s="15">
        <f t="shared" si="0"/>
        <v>99.889999999999986</v>
      </c>
      <c r="U22" s="86">
        <v>0.70468900000000001</v>
      </c>
      <c r="V22" s="86">
        <v>0.51266699999999998</v>
      </c>
      <c r="W22" s="14">
        <v>19.670000000000002</v>
      </c>
      <c r="X22" s="14">
        <v>15.68</v>
      </c>
      <c r="Y22" s="14">
        <v>39.65</v>
      </c>
      <c r="Z22" s="14">
        <f t="shared" si="73"/>
        <v>2.0157600406710725</v>
      </c>
      <c r="AA22" s="14">
        <f t="shared" si="74"/>
        <v>0.7971530249110319</v>
      </c>
      <c r="AB22" s="14">
        <f t="shared" si="75"/>
        <v>5.6772000000000489</v>
      </c>
      <c r="AC22" s="14">
        <f t="shared" si="76"/>
        <v>24.196999999999491</v>
      </c>
      <c r="AD22" s="14"/>
      <c r="AF22" s="19">
        <f t="shared" si="1"/>
        <v>0.41625042811957408</v>
      </c>
      <c r="AG22" s="20">
        <f t="shared" si="2"/>
        <v>16786</v>
      </c>
      <c r="AH22" s="20">
        <f t="shared" si="3"/>
        <v>46491.199999999997</v>
      </c>
      <c r="AI22" s="20">
        <f t="shared" si="77"/>
        <v>6546</v>
      </c>
      <c r="AJ22" s="19">
        <f t="shared" si="4"/>
        <v>11.3</v>
      </c>
      <c r="AK22" s="19">
        <f t="shared" si="5"/>
        <v>0.98245614035087714</v>
      </c>
      <c r="AL22" s="19">
        <f t="shared" si="6"/>
        <v>1.017857142857143</v>
      </c>
      <c r="AM22" s="19">
        <f t="shared" si="7"/>
        <v>0.81208053691275162</v>
      </c>
      <c r="AN22" s="19">
        <f t="shared" si="8"/>
        <v>1.0361129561832529</v>
      </c>
      <c r="AO22" s="118">
        <f t="shared" si="9"/>
        <v>-940.23538524007949</v>
      </c>
      <c r="AP22" s="118">
        <f t="shared" si="10"/>
        <v>1792.2961227664059</v>
      </c>
      <c r="AQ22" s="19">
        <f t="shared" si="11"/>
        <v>0.39799880374462171</v>
      </c>
      <c r="AR22" s="19">
        <f t="shared" si="12"/>
        <v>1.0361129561832529</v>
      </c>
      <c r="AS22" s="118">
        <f t="shared" si="13"/>
        <v>-940.23538524007949</v>
      </c>
      <c r="AT22" s="118">
        <f t="shared" si="14"/>
        <v>1792.2961227664059</v>
      </c>
      <c r="AU22" s="14">
        <f t="shared" si="15"/>
        <v>0.14177215189873416</v>
      </c>
      <c r="AV22" s="14">
        <f t="shared" si="16"/>
        <v>0.40679975491243814</v>
      </c>
      <c r="AX22" s="118">
        <v>178</v>
      </c>
      <c r="AY22" s="118">
        <v>2907</v>
      </c>
      <c r="AZ22" s="118">
        <v>3653</v>
      </c>
      <c r="BB22" s="118"/>
      <c r="BC22" s="118"/>
      <c r="BE22" s="118"/>
      <c r="BF22" s="118"/>
      <c r="BG22" s="118"/>
      <c r="BH22" s="118"/>
      <c r="BI22" s="118">
        <v>52</v>
      </c>
      <c r="BJ22" s="118">
        <v>333</v>
      </c>
      <c r="BK22" s="118">
        <v>324</v>
      </c>
      <c r="BL22" s="117">
        <v>4.7</v>
      </c>
      <c r="BM22" s="117">
        <v>24</v>
      </c>
      <c r="BN22" s="117">
        <v>232</v>
      </c>
      <c r="BO22" s="117">
        <v>487</v>
      </c>
      <c r="BP22" s="117">
        <v>47</v>
      </c>
      <c r="BQ22" s="117">
        <v>159</v>
      </c>
      <c r="BR22" s="14">
        <v>22</v>
      </c>
      <c r="BS22" s="14">
        <v>5.8</v>
      </c>
      <c r="BT22" s="117">
        <v>13.4</v>
      </c>
      <c r="BU22" s="14">
        <v>1.85</v>
      </c>
      <c r="BV22" s="14">
        <v>10.8</v>
      </c>
      <c r="BW22" s="14">
        <v>2</v>
      </c>
      <c r="BX22" s="14">
        <v>5</v>
      </c>
      <c r="BY22" s="14">
        <v>0.7</v>
      </c>
      <c r="BZ22" s="14">
        <v>4.2</v>
      </c>
      <c r="CA22" s="14">
        <v>0.6</v>
      </c>
      <c r="CB22" s="117">
        <v>16.2</v>
      </c>
      <c r="CC22" s="117">
        <v>32</v>
      </c>
      <c r="CD22" s="118">
        <v>10.7</v>
      </c>
      <c r="CE22" s="118"/>
      <c r="CF22" s="118"/>
      <c r="CG22" s="22">
        <f t="shared" si="17"/>
        <v>748.38709677419354</v>
      </c>
      <c r="CH22" s="22">
        <f t="shared" si="18"/>
        <v>602.7227722772277</v>
      </c>
      <c r="CI22" s="22">
        <f t="shared" si="19"/>
        <v>385.24590163934425</v>
      </c>
      <c r="CJ22" s="22">
        <f t="shared" si="20"/>
        <v>265</v>
      </c>
      <c r="CK22" s="22">
        <f t="shared" si="72"/>
        <v>112.82051282051282</v>
      </c>
      <c r="CL22" s="22">
        <f t="shared" si="21"/>
        <v>78.378378378378386</v>
      </c>
      <c r="CM22" s="22">
        <f t="shared" si="22"/>
        <v>51.737451737451735</v>
      </c>
      <c r="CN22" s="22">
        <f t="shared" si="23"/>
        <v>39.029535864978904</v>
      </c>
      <c r="CO22" s="22">
        <f t="shared" si="24"/>
        <v>33.540372670807457</v>
      </c>
      <c r="CP22" s="22">
        <f t="shared" si="25"/>
        <v>27.855153203342617</v>
      </c>
      <c r="CQ22" s="22">
        <f t="shared" si="26"/>
        <v>23.80952380952381</v>
      </c>
      <c r="CR22" s="22">
        <f t="shared" si="27"/>
        <v>21.604938271604937</v>
      </c>
      <c r="CS22" s="22">
        <f t="shared" si="28"/>
        <v>20.095693779904309</v>
      </c>
      <c r="CT22" s="22">
        <f t="shared" si="29"/>
        <v>18.75</v>
      </c>
      <c r="CU22" s="22">
        <f t="shared" si="30"/>
        <v>11.274691358024691</v>
      </c>
      <c r="CV22" s="117">
        <f t="shared" si="31"/>
        <v>15.745689655172415</v>
      </c>
      <c r="CW22" s="22">
        <f t="shared" si="32"/>
        <v>0.71604938271604934</v>
      </c>
      <c r="CX22" s="20">
        <f t="shared" si="33"/>
        <v>51.808641975308639</v>
      </c>
      <c r="CY22" s="22">
        <f t="shared" si="34"/>
        <v>30.061728395061731</v>
      </c>
      <c r="CZ22" s="22">
        <f t="shared" si="35"/>
        <v>30.280373831775702</v>
      </c>
      <c r="DA22" s="22">
        <f t="shared" si="36"/>
        <v>8.0909090909090917</v>
      </c>
      <c r="DB22" s="22">
        <f t="shared" si="37"/>
        <v>1.0277777777777777</v>
      </c>
      <c r="DC22" s="22">
        <f t="shared" si="38"/>
        <v>114.15625</v>
      </c>
      <c r="DD22" s="22">
        <f t="shared" si="78"/>
        <v>1.3333333333333333</v>
      </c>
      <c r="DE22" s="22">
        <f t="shared" si="79"/>
        <v>5.7142857142857144</v>
      </c>
      <c r="DF22" s="22">
        <f t="shared" si="39"/>
        <v>7.6190476190476186</v>
      </c>
      <c r="DG22" s="19">
        <f t="shared" si="40"/>
        <v>6.2307692307692308</v>
      </c>
      <c r="DH22" s="20">
        <f t="shared" si="41"/>
        <v>200.39310344827584</v>
      </c>
      <c r="DI22" s="19">
        <f t="shared" si="42"/>
        <v>1.7992423087473735</v>
      </c>
      <c r="DJ22" s="22">
        <f t="shared" si="43"/>
        <v>386.66666666666669</v>
      </c>
      <c r="DK22" s="22">
        <f t="shared" si="44"/>
        <v>39.913978494623656</v>
      </c>
      <c r="DL22" s="22">
        <f t="shared" si="45"/>
        <v>6.6334310850439886</v>
      </c>
      <c r="DM22" s="22">
        <f t="shared" si="46"/>
        <v>55.238095238095234</v>
      </c>
      <c r="DN22" s="22">
        <f t="shared" si="47"/>
        <v>5.2380952380952381</v>
      </c>
      <c r="DO22" s="22">
        <f t="shared" si="48"/>
        <v>2.9559748427672956E-2</v>
      </c>
      <c r="DP22" s="20">
        <f t="shared" si="49"/>
        <v>692.14285714285711</v>
      </c>
      <c r="DQ22" s="22">
        <f t="shared" si="50"/>
        <v>18.283018867924529</v>
      </c>
      <c r="DR22" s="22">
        <f t="shared" si="51"/>
        <v>38.049458447453688</v>
      </c>
      <c r="DS22" s="19">
        <f t="shared" si="52"/>
        <v>1.0258874617430034</v>
      </c>
      <c r="DT22" s="23">
        <f t="shared" si="53"/>
        <v>3.4399724802201581E-4</v>
      </c>
      <c r="DU22" s="22">
        <f t="shared" si="54"/>
        <v>6.4038461538461542</v>
      </c>
      <c r="DV22" s="22">
        <f t="shared" si="80"/>
        <v>13.5</v>
      </c>
      <c r="DW22" s="22">
        <f t="shared" si="55"/>
        <v>0.98617515801849298</v>
      </c>
      <c r="DX22" s="22">
        <f t="shared" si="56"/>
        <v>97.297297297297291</v>
      </c>
      <c r="DY22" s="22">
        <f t="shared" si="57"/>
        <v>9.6096096096096097</v>
      </c>
      <c r="DZ22" s="19">
        <f t="shared" si="58"/>
        <v>9.9869057890063662E-3</v>
      </c>
      <c r="EA22" s="23"/>
      <c r="EB22" s="19">
        <f t="shared" si="59"/>
        <v>9.8765432098765427E-2</v>
      </c>
      <c r="EC22" s="19">
        <f t="shared" si="60"/>
        <v>0.23346657307730886</v>
      </c>
      <c r="ED22" s="19"/>
      <c r="EE22" s="19">
        <f t="shared" si="61"/>
        <v>39.543497847632402</v>
      </c>
      <c r="EF22" s="19">
        <f t="shared" si="62"/>
        <v>2.8030833917309046</v>
      </c>
      <c r="EG22" s="19">
        <f t="shared" si="63"/>
        <v>14.916408048853741</v>
      </c>
      <c r="EH22" s="19">
        <f t="shared" si="64"/>
        <v>13.414756231855042</v>
      </c>
      <c r="EI22" s="19">
        <f t="shared" si="65"/>
        <v>0.29031935128641506</v>
      </c>
      <c r="EJ22" s="19">
        <f t="shared" si="66"/>
        <v>4.1045149664631095</v>
      </c>
      <c r="EK22" s="19">
        <f t="shared" si="67"/>
        <v>12.113324657122837</v>
      </c>
      <c r="EL22" s="19">
        <f t="shared" si="68"/>
        <v>5.7062769045950557</v>
      </c>
      <c r="EM22" s="19">
        <f t="shared" si="69"/>
        <v>5.6061667834618092</v>
      </c>
      <c r="EN22" s="19">
        <f t="shared" si="70"/>
        <v>1.5016518169986988</v>
      </c>
      <c r="EO22" s="19">
        <f t="shared" si="71"/>
        <v>100</v>
      </c>
      <c r="EP22" s="19"/>
    </row>
    <row r="23" spans="1:146">
      <c r="A23" s="1" t="s">
        <v>45</v>
      </c>
      <c r="B23" s="36" t="s">
        <v>60</v>
      </c>
      <c r="C23" s="1">
        <v>1</v>
      </c>
      <c r="D23" s="1" t="s">
        <v>43</v>
      </c>
      <c r="E23" s="1" t="s">
        <v>59</v>
      </c>
      <c r="F23" s="2" t="s">
        <v>61</v>
      </c>
      <c r="G23" s="14">
        <v>38.700000000000003</v>
      </c>
      <c r="H23" s="14">
        <v>2.7</v>
      </c>
      <c r="I23" s="14">
        <v>14.4</v>
      </c>
      <c r="J23" s="14">
        <v>13.2</v>
      </c>
      <c r="K23" s="14">
        <v>0.28999999999999998</v>
      </c>
      <c r="L23" s="14">
        <v>4.0999999999999996</v>
      </c>
      <c r="M23" s="14">
        <v>12.2</v>
      </c>
      <c r="N23" s="14">
        <v>5.8</v>
      </c>
      <c r="O23" s="14">
        <v>5.4</v>
      </c>
      <c r="P23" s="14">
        <v>1.5</v>
      </c>
      <c r="Q23" s="14"/>
      <c r="R23" s="14"/>
      <c r="S23" s="15">
        <f t="shared" si="0"/>
        <v>98.29</v>
      </c>
      <c r="U23" s="86">
        <v>0.70474599999999998</v>
      </c>
      <c r="V23" s="86"/>
      <c r="W23" s="14">
        <v>19.670000000000002</v>
      </c>
      <c r="X23" s="14">
        <v>15.66</v>
      </c>
      <c r="Y23" s="14">
        <v>39.590000000000003</v>
      </c>
      <c r="Z23" s="14">
        <f t="shared" si="73"/>
        <v>2.0127097102186071</v>
      </c>
      <c r="AA23" s="14">
        <f t="shared" si="74"/>
        <v>0.79613624809354344</v>
      </c>
      <c r="AB23" s="14">
        <f t="shared" si="75"/>
        <v>3.6772000000000915</v>
      </c>
      <c r="AC23" s="14">
        <f t="shared" si="76"/>
        <v>18.196999999999974</v>
      </c>
      <c r="AD23" s="14"/>
      <c r="AF23" s="19">
        <f t="shared" si="1"/>
        <v>0.41990896059684518</v>
      </c>
      <c r="AG23" s="20">
        <f t="shared" si="2"/>
        <v>16186.500000000002</v>
      </c>
      <c r="AH23" s="20">
        <f t="shared" si="3"/>
        <v>44830.8</v>
      </c>
      <c r="AI23" s="20">
        <f t="shared" si="77"/>
        <v>6546</v>
      </c>
      <c r="AJ23" s="19">
        <f t="shared" si="4"/>
        <v>11.2</v>
      </c>
      <c r="AK23" s="19">
        <f t="shared" si="5"/>
        <v>0.93103448275862077</v>
      </c>
      <c r="AL23" s="19">
        <f t="shared" si="6"/>
        <v>1.074074074074074</v>
      </c>
      <c r="AM23" s="19">
        <f t="shared" si="7"/>
        <v>0.84722222222222221</v>
      </c>
      <c r="AN23" s="19">
        <f t="shared" si="8"/>
        <v>1.0684800098746554</v>
      </c>
      <c r="AO23" s="118">
        <f t="shared" si="9"/>
        <v>-993.22485758616881</v>
      </c>
      <c r="AP23" s="118">
        <f t="shared" si="10"/>
        <v>1822.3785031090003</v>
      </c>
      <c r="AQ23" s="19">
        <f t="shared" si="11"/>
        <v>0.38331372281444082</v>
      </c>
      <c r="AR23" s="19">
        <f t="shared" si="12"/>
        <v>1.0684800098746554</v>
      </c>
      <c r="AS23" s="118">
        <f t="shared" si="13"/>
        <v>-993.22485758616881</v>
      </c>
      <c r="AT23" s="118">
        <f t="shared" si="14"/>
        <v>1822.3785031090003</v>
      </c>
      <c r="AU23" s="14">
        <f t="shared" si="15"/>
        <v>0.13953488372093023</v>
      </c>
      <c r="AV23" s="14">
        <f t="shared" si="16"/>
        <v>0.40589171974522292</v>
      </c>
      <c r="AX23" s="118">
        <v>145</v>
      </c>
      <c r="AY23" s="118">
        <v>2937</v>
      </c>
      <c r="AZ23" s="118">
        <v>2398</v>
      </c>
      <c r="BB23" s="118"/>
      <c r="BC23" s="118"/>
      <c r="BE23" s="118"/>
      <c r="BF23" s="118"/>
      <c r="BG23" s="118"/>
      <c r="BH23" s="118"/>
      <c r="BI23" s="118">
        <v>42</v>
      </c>
      <c r="BJ23" s="118">
        <v>331</v>
      </c>
      <c r="BK23" s="118">
        <v>351</v>
      </c>
      <c r="BL23" s="117">
        <v>4.4000000000000004</v>
      </c>
      <c r="BM23" s="117">
        <v>17</v>
      </c>
      <c r="BN23" s="117">
        <v>199</v>
      </c>
      <c r="BO23" s="117">
        <v>365</v>
      </c>
      <c r="BP23" s="117">
        <v>39</v>
      </c>
      <c r="BQ23" s="117">
        <v>129</v>
      </c>
      <c r="BR23" s="14">
        <v>19</v>
      </c>
      <c r="BS23" s="14">
        <v>5.3</v>
      </c>
      <c r="BT23" s="117">
        <v>13.3</v>
      </c>
      <c r="BU23" s="14">
        <v>1.66</v>
      </c>
      <c r="BV23" s="14">
        <v>8.3000000000000007</v>
      </c>
      <c r="BW23" s="14">
        <v>1.51</v>
      </c>
      <c r="BX23" s="14">
        <v>3.7</v>
      </c>
      <c r="BY23" s="14">
        <v>0.52</v>
      </c>
      <c r="BZ23" s="14">
        <v>3.2</v>
      </c>
      <c r="CA23" s="14">
        <v>0.43</v>
      </c>
      <c r="CB23" s="117">
        <v>6.1</v>
      </c>
      <c r="CC23" s="117">
        <v>24</v>
      </c>
      <c r="CD23" s="118">
        <v>9.8000000000000007</v>
      </c>
      <c r="CE23" s="118"/>
      <c r="CF23" s="118"/>
      <c r="CG23" s="22">
        <f t="shared" si="17"/>
        <v>641.9354838709678</v>
      </c>
      <c r="CH23" s="22">
        <f t="shared" si="18"/>
        <v>451.73267326732673</v>
      </c>
      <c r="CI23" s="22">
        <f t="shared" si="19"/>
        <v>319.67213114754099</v>
      </c>
      <c r="CJ23" s="22">
        <f t="shared" si="20"/>
        <v>215</v>
      </c>
      <c r="CK23" s="22">
        <f t="shared" si="72"/>
        <v>97.435897435897431</v>
      </c>
      <c r="CL23" s="22">
        <f t="shared" si="21"/>
        <v>71.621621621621628</v>
      </c>
      <c r="CM23" s="22">
        <f t="shared" si="22"/>
        <v>51.351351351351354</v>
      </c>
      <c r="CN23" s="22">
        <f t="shared" si="23"/>
        <v>35.021097046413502</v>
      </c>
      <c r="CO23" s="22">
        <f t="shared" si="24"/>
        <v>25.77639751552795</v>
      </c>
      <c r="CP23" s="22">
        <f t="shared" si="25"/>
        <v>21.030640668523677</v>
      </c>
      <c r="CQ23" s="22">
        <f t="shared" si="26"/>
        <v>17.61904761904762</v>
      </c>
      <c r="CR23" s="22">
        <f t="shared" si="27"/>
        <v>16.049382716049383</v>
      </c>
      <c r="CS23" s="22">
        <f t="shared" si="28"/>
        <v>15.311004784688997</v>
      </c>
      <c r="CT23" s="22">
        <f t="shared" si="29"/>
        <v>13.4375</v>
      </c>
      <c r="CU23" s="22">
        <f t="shared" si="30"/>
        <v>6.8319088319088319</v>
      </c>
      <c r="CV23" s="117">
        <f t="shared" si="31"/>
        <v>12.050251256281408</v>
      </c>
      <c r="CW23" s="22">
        <f t="shared" si="32"/>
        <v>0.5669515669515669</v>
      </c>
      <c r="CX23" s="20">
        <f t="shared" si="33"/>
        <v>46.11538461538462</v>
      </c>
      <c r="CY23" s="22">
        <f t="shared" si="34"/>
        <v>59.836065573770497</v>
      </c>
      <c r="CZ23" s="22">
        <f t="shared" si="35"/>
        <v>35.816326530612244</v>
      </c>
      <c r="DA23" s="22">
        <f t="shared" si="36"/>
        <v>7.6315789473684212</v>
      </c>
      <c r="DB23" s="22">
        <f t="shared" si="37"/>
        <v>0.94301994301994307</v>
      </c>
      <c r="DC23" s="22">
        <f t="shared" si="38"/>
        <v>99.916666666666671</v>
      </c>
      <c r="DD23" s="22">
        <f t="shared" si="78"/>
        <v>1.411764705882353</v>
      </c>
      <c r="DE23" s="22">
        <f t="shared" si="79"/>
        <v>5.3125</v>
      </c>
      <c r="DF23" s="22">
        <f t="shared" si="39"/>
        <v>7.5</v>
      </c>
      <c r="DG23" s="19">
        <f t="shared" si="40"/>
        <v>8.3571428571428577</v>
      </c>
      <c r="DH23" s="20">
        <f t="shared" si="41"/>
        <v>225.28040201005027</v>
      </c>
      <c r="DI23" s="19">
        <f t="shared" si="42"/>
        <v>2.0740907074292063</v>
      </c>
      <c r="DJ23" s="22">
        <f t="shared" si="43"/>
        <v>462.7906976744186</v>
      </c>
      <c r="DK23" s="22">
        <f t="shared" si="44"/>
        <v>47.771942985746442</v>
      </c>
      <c r="DL23" s="22">
        <f t="shared" si="45"/>
        <v>6.5882852292020386</v>
      </c>
      <c r="DM23" s="22">
        <f t="shared" si="46"/>
        <v>62.1875</v>
      </c>
      <c r="DN23" s="22">
        <f t="shared" si="47"/>
        <v>5.9375</v>
      </c>
      <c r="DO23" s="22">
        <f t="shared" si="48"/>
        <v>3.4108527131782945E-2</v>
      </c>
      <c r="DP23" s="20">
        <f t="shared" si="49"/>
        <v>917.8125</v>
      </c>
      <c r="DQ23" s="22">
        <f t="shared" si="50"/>
        <v>22.767441860465116</v>
      </c>
      <c r="DR23" s="22">
        <f t="shared" si="51"/>
        <v>41.521067754231993</v>
      </c>
      <c r="DS23" s="19">
        <f t="shared" si="52"/>
        <v>1.0125319046712016</v>
      </c>
      <c r="DT23" s="23">
        <f t="shared" si="53"/>
        <v>3.4048348655090226E-4</v>
      </c>
      <c r="DU23" s="22">
        <f t="shared" si="54"/>
        <v>7.8809523809523814</v>
      </c>
      <c r="DV23" s="22">
        <f t="shared" si="80"/>
        <v>20.647058823529413</v>
      </c>
      <c r="DW23" s="22">
        <f t="shared" si="55"/>
        <v>0.94062671558251254</v>
      </c>
      <c r="DX23" s="22">
        <f t="shared" si="56"/>
        <v>106.04229607250755</v>
      </c>
      <c r="DY23" s="22">
        <f t="shared" si="57"/>
        <v>7.2507552870090635</v>
      </c>
      <c r="DZ23" s="19">
        <f t="shared" si="58"/>
        <v>1.0045804364611012E-2</v>
      </c>
      <c r="EA23" s="23"/>
      <c r="EB23" s="19">
        <f t="shared" si="59"/>
        <v>6.8376068376068383E-2</v>
      </c>
      <c r="EC23" s="19">
        <f t="shared" si="60"/>
        <v>0.11147415857237057</v>
      </c>
      <c r="ED23" s="19"/>
      <c r="EE23" s="19">
        <f t="shared" si="61"/>
        <v>39.373283141723476</v>
      </c>
      <c r="EF23" s="19">
        <f t="shared" si="62"/>
        <v>2.7469732424458235</v>
      </c>
      <c r="EG23" s="19">
        <f t="shared" si="63"/>
        <v>14.650523959711059</v>
      </c>
      <c r="EH23" s="19">
        <f t="shared" si="64"/>
        <v>13.429646963068469</v>
      </c>
      <c r="EI23" s="19">
        <f t="shared" si="65"/>
        <v>0.29504527418862542</v>
      </c>
      <c r="EJ23" s="19">
        <f t="shared" si="66"/>
        <v>4.1713297385288426</v>
      </c>
      <c r="EK23" s="19">
        <f t="shared" si="67"/>
        <v>12.412249465866314</v>
      </c>
      <c r="EL23" s="19">
        <f t="shared" si="68"/>
        <v>5.9009054837725099</v>
      </c>
      <c r="EM23" s="19">
        <f t="shared" si="69"/>
        <v>5.4939464848916471</v>
      </c>
      <c r="EN23" s="19">
        <f t="shared" si="70"/>
        <v>1.5260962458032352</v>
      </c>
      <c r="EO23" s="19">
        <f t="shared" si="71"/>
        <v>99.999999999999986</v>
      </c>
      <c r="EP23" s="19"/>
    </row>
    <row r="24" spans="1:146">
      <c r="A24" s="1" t="s">
        <v>45</v>
      </c>
      <c r="B24" s="36" t="s">
        <v>60</v>
      </c>
      <c r="C24" s="1">
        <v>1</v>
      </c>
      <c r="D24" s="1" t="s">
        <v>43</v>
      </c>
      <c r="E24" s="1" t="s">
        <v>59</v>
      </c>
      <c r="F24" s="2" t="s">
        <v>61</v>
      </c>
      <c r="G24" s="14">
        <v>38.1</v>
      </c>
      <c r="H24" s="14">
        <v>2.7</v>
      </c>
      <c r="I24" s="14">
        <v>14.2</v>
      </c>
      <c r="J24" s="14">
        <v>13.1</v>
      </c>
      <c r="K24" s="14">
        <v>0.28999999999999998</v>
      </c>
      <c r="L24" s="14">
        <v>4.0999999999999996</v>
      </c>
      <c r="M24" s="14">
        <v>12.2</v>
      </c>
      <c r="N24" s="14">
        <v>5.8</v>
      </c>
      <c r="O24" s="14">
        <v>5.4</v>
      </c>
      <c r="P24" s="14">
        <v>1.4</v>
      </c>
      <c r="Q24" s="14"/>
      <c r="R24" s="14"/>
      <c r="S24" s="15">
        <f t="shared" si="0"/>
        <v>97.29</v>
      </c>
      <c r="U24" s="86">
        <v>0.70455299999999998</v>
      </c>
      <c r="V24" s="86">
        <v>0.51268800000000003</v>
      </c>
      <c r="W24" s="14">
        <v>19.670000000000002</v>
      </c>
      <c r="X24" s="14">
        <v>15.67</v>
      </c>
      <c r="Y24" s="14">
        <v>39.619999999999997</v>
      </c>
      <c r="Z24" s="14">
        <f t="shared" si="73"/>
        <v>2.0142348754448394</v>
      </c>
      <c r="AA24" s="14">
        <f t="shared" si="74"/>
        <v>0.79664463650228767</v>
      </c>
      <c r="AB24" s="14">
        <f t="shared" si="75"/>
        <v>4.6772000000000702</v>
      </c>
      <c r="AC24" s="14">
        <f t="shared" si="76"/>
        <v>21.196999999999377</v>
      </c>
      <c r="AD24" s="14"/>
      <c r="AF24" s="19">
        <f t="shared" si="1"/>
        <v>0.42176245012772257</v>
      </c>
      <c r="AG24" s="20">
        <f t="shared" si="2"/>
        <v>16186.500000000002</v>
      </c>
      <c r="AH24" s="20">
        <f t="shared" si="3"/>
        <v>44830.8</v>
      </c>
      <c r="AI24" s="20">
        <f t="shared" si="77"/>
        <v>6109.5999999999995</v>
      </c>
      <c r="AJ24" s="19">
        <f t="shared" si="4"/>
        <v>11.2</v>
      </c>
      <c r="AK24" s="19">
        <f t="shared" si="5"/>
        <v>0.93103448275862077</v>
      </c>
      <c r="AL24" s="19">
        <f t="shared" si="6"/>
        <v>1.074074074074074</v>
      </c>
      <c r="AM24" s="19">
        <f t="shared" si="7"/>
        <v>0.85915492957746487</v>
      </c>
      <c r="AN24" s="19">
        <f t="shared" si="8"/>
        <v>1.0835290240982418</v>
      </c>
      <c r="AO24" s="118">
        <f t="shared" si="9"/>
        <v>-1043.2059036160372</v>
      </c>
      <c r="AP24" s="118">
        <f t="shared" si="10"/>
        <v>1837.0775245194909</v>
      </c>
      <c r="AQ24" s="19">
        <f t="shared" si="11"/>
        <v>0.37798992110868479</v>
      </c>
      <c r="AR24" s="19">
        <f t="shared" si="12"/>
        <v>1.0835290240982418</v>
      </c>
      <c r="AS24" s="118">
        <f t="shared" si="13"/>
        <v>-1043.2059036160372</v>
      </c>
      <c r="AT24" s="118">
        <f t="shared" si="14"/>
        <v>1837.0775245194909</v>
      </c>
      <c r="AU24" s="14">
        <f t="shared" si="15"/>
        <v>0.14173228346456693</v>
      </c>
      <c r="AV24" s="14">
        <f t="shared" si="16"/>
        <v>0.41160850453036696</v>
      </c>
      <c r="AX24" s="118">
        <v>146</v>
      </c>
      <c r="AY24" s="118">
        <v>2936</v>
      </c>
      <c r="AZ24" s="118">
        <v>2383</v>
      </c>
      <c r="BB24" s="118"/>
      <c r="BC24" s="118"/>
      <c r="BE24" s="118"/>
      <c r="BF24" s="118"/>
      <c r="BG24" s="118"/>
      <c r="BH24" s="118"/>
      <c r="BI24" s="118">
        <v>42</v>
      </c>
      <c r="BJ24" s="118">
        <v>331</v>
      </c>
      <c r="BK24" s="118">
        <v>350</v>
      </c>
      <c r="BL24" s="117">
        <v>4.3</v>
      </c>
      <c r="BM24" s="117">
        <v>17</v>
      </c>
      <c r="BN24" s="117">
        <v>198</v>
      </c>
      <c r="BO24" s="117">
        <v>362</v>
      </c>
      <c r="BP24" s="117">
        <v>39</v>
      </c>
      <c r="BQ24" s="117">
        <v>128</v>
      </c>
      <c r="BR24" s="14">
        <v>19</v>
      </c>
      <c r="BS24" s="14">
        <v>5.3</v>
      </c>
      <c r="BT24" s="117">
        <v>13.3</v>
      </c>
      <c r="BU24" s="14">
        <v>1.66</v>
      </c>
      <c r="BV24" s="14">
        <v>8.1999999999999993</v>
      </c>
      <c r="BW24" s="14">
        <v>1.49</v>
      </c>
      <c r="BX24" s="14">
        <v>3.7</v>
      </c>
      <c r="BY24" s="14">
        <v>0.52</v>
      </c>
      <c r="BZ24" s="14">
        <v>3.2</v>
      </c>
      <c r="CA24" s="14">
        <v>0.42</v>
      </c>
      <c r="CB24" s="117">
        <v>6</v>
      </c>
      <c r="CC24" s="117">
        <v>24</v>
      </c>
      <c r="CD24" s="118">
        <v>9.8000000000000007</v>
      </c>
      <c r="CE24" s="118"/>
      <c r="CF24" s="118"/>
      <c r="CG24" s="22">
        <f t="shared" si="17"/>
        <v>638.70967741935488</v>
      </c>
      <c r="CH24" s="22">
        <f t="shared" si="18"/>
        <v>448.019801980198</v>
      </c>
      <c r="CI24" s="22">
        <f t="shared" si="19"/>
        <v>319.67213114754099</v>
      </c>
      <c r="CJ24" s="22">
        <f t="shared" si="20"/>
        <v>213.33333333333334</v>
      </c>
      <c r="CK24" s="22">
        <f t="shared" si="72"/>
        <v>97.435897435897431</v>
      </c>
      <c r="CL24" s="22">
        <f t="shared" si="21"/>
        <v>71.621621621621628</v>
      </c>
      <c r="CM24" s="22">
        <f t="shared" si="22"/>
        <v>51.351351351351354</v>
      </c>
      <c r="CN24" s="22">
        <f t="shared" si="23"/>
        <v>35.021097046413502</v>
      </c>
      <c r="CO24" s="22">
        <f t="shared" si="24"/>
        <v>25.465838509316768</v>
      </c>
      <c r="CP24" s="22">
        <f t="shared" si="25"/>
        <v>20.752089136490248</v>
      </c>
      <c r="CQ24" s="22">
        <f t="shared" si="26"/>
        <v>17.61904761904762</v>
      </c>
      <c r="CR24" s="22">
        <f t="shared" si="27"/>
        <v>16.049382716049383</v>
      </c>
      <c r="CS24" s="22">
        <f t="shared" si="28"/>
        <v>15.311004784688997</v>
      </c>
      <c r="CT24" s="22">
        <f t="shared" si="29"/>
        <v>13.125</v>
      </c>
      <c r="CU24" s="22">
        <f t="shared" si="30"/>
        <v>6.8085714285714287</v>
      </c>
      <c r="CV24" s="117">
        <f t="shared" si="31"/>
        <v>12.035353535353535</v>
      </c>
      <c r="CW24" s="22">
        <f t="shared" si="32"/>
        <v>0.56571428571428573</v>
      </c>
      <c r="CX24" s="20">
        <f t="shared" si="33"/>
        <v>46.247142857142862</v>
      </c>
      <c r="CY24" s="22">
        <f t="shared" si="34"/>
        <v>60.333333333333336</v>
      </c>
      <c r="CZ24" s="22">
        <f t="shared" si="35"/>
        <v>35.714285714285708</v>
      </c>
      <c r="DA24" s="22">
        <f t="shared" si="36"/>
        <v>7.6842105263157894</v>
      </c>
      <c r="DB24" s="22">
        <f t="shared" si="37"/>
        <v>0.94571428571428573</v>
      </c>
      <c r="DC24" s="22">
        <f t="shared" si="38"/>
        <v>99.291666666666671</v>
      </c>
      <c r="DD24" s="22">
        <f t="shared" si="78"/>
        <v>1.411764705882353</v>
      </c>
      <c r="DE24" s="22">
        <f t="shared" si="79"/>
        <v>5.3125</v>
      </c>
      <c r="DF24" s="22">
        <f t="shared" si="39"/>
        <v>7.5</v>
      </c>
      <c r="DG24" s="19">
        <f t="shared" si="40"/>
        <v>8.3333333333333339</v>
      </c>
      <c r="DH24" s="20">
        <f t="shared" si="41"/>
        <v>226.41818181818184</v>
      </c>
      <c r="DI24" s="19">
        <f t="shared" si="42"/>
        <v>2.0681816170946505</v>
      </c>
      <c r="DJ24" s="22">
        <f t="shared" si="43"/>
        <v>471.42857142857144</v>
      </c>
      <c r="DK24" s="22">
        <f t="shared" si="44"/>
        <v>48.663594470046085</v>
      </c>
      <c r="DL24" s="22">
        <f t="shared" si="45"/>
        <v>6.5551782682512743</v>
      </c>
      <c r="DM24" s="22">
        <f t="shared" si="46"/>
        <v>61.875</v>
      </c>
      <c r="DN24" s="22">
        <f t="shared" si="47"/>
        <v>5.9375</v>
      </c>
      <c r="DO24" s="22">
        <f t="shared" si="48"/>
        <v>3.3593749999999999E-2</v>
      </c>
      <c r="DP24" s="20">
        <f t="shared" si="49"/>
        <v>917.5</v>
      </c>
      <c r="DQ24" s="22">
        <f t="shared" si="50"/>
        <v>22.9375</v>
      </c>
      <c r="DR24" s="22">
        <f t="shared" si="51"/>
        <v>41.506930516317716</v>
      </c>
      <c r="DS24" s="19">
        <f t="shared" si="52"/>
        <v>1.0125319046712016</v>
      </c>
      <c r="DT24" s="23">
        <f t="shared" si="53"/>
        <v>3.4059945504087192E-4</v>
      </c>
      <c r="DU24" s="22">
        <f t="shared" si="54"/>
        <v>7.8809523809523814</v>
      </c>
      <c r="DV24" s="22">
        <f t="shared" si="80"/>
        <v>20.588235294117649</v>
      </c>
      <c r="DW24" s="22">
        <f t="shared" si="55"/>
        <v>0.93938764346696391</v>
      </c>
      <c r="DX24" s="22">
        <f t="shared" si="56"/>
        <v>105.74018126888218</v>
      </c>
      <c r="DY24" s="22">
        <f t="shared" si="57"/>
        <v>7.2507552870090635</v>
      </c>
      <c r="DZ24" s="19">
        <f t="shared" si="58"/>
        <v>1.015251741821902E-2</v>
      </c>
      <c r="EA24" s="23"/>
      <c r="EB24" s="19">
        <f t="shared" si="59"/>
        <v>6.8571428571428575E-2</v>
      </c>
      <c r="EC24" s="19">
        <f t="shared" si="60"/>
        <v>0.11010011313386633</v>
      </c>
      <c r="ED24" s="19"/>
      <c r="EE24" s="19">
        <f t="shared" si="61"/>
        <v>39.161270428615474</v>
      </c>
      <c r="EF24" s="19">
        <f t="shared" si="62"/>
        <v>2.7752081406105455</v>
      </c>
      <c r="EG24" s="19">
        <f t="shared" si="63"/>
        <v>14.595539109877684</v>
      </c>
      <c r="EH24" s="19">
        <f t="shared" si="64"/>
        <v>13.464898756295611</v>
      </c>
      <c r="EI24" s="19">
        <f t="shared" si="65"/>
        <v>0.29807791139891043</v>
      </c>
      <c r="EJ24" s="19">
        <f t="shared" si="66"/>
        <v>4.2142049542604578</v>
      </c>
      <c r="EK24" s="19">
        <f t="shared" si="67"/>
        <v>12.539829376092095</v>
      </c>
      <c r="EL24" s="19">
        <f t="shared" si="68"/>
        <v>5.9615582279782089</v>
      </c>
      <c r="EM24" s="19">
        <f t="shared" si="69"/>
        <v>5.5504162812210911</v>
      </c>
      <c r="EN24" s="19">
        <f t="shared" si="70"/>
        <v>1.4389968136499125</v>
      </c>
      <c r="EO24" s="19">
        <f t="shared" si="71"/>
        <v>99.999999999999972</v>
      </c>
      <c r="EP24" s="19"/>
    </row>
    <row r="25" spans="1:146">
      <c r="A25" s="1" t="s">
        <v>45</v>
      </c>
      <c r="B25" s="36" t="s">
        <v>60</v>
      </c>
      <c r="C25" s="1">
        <v>1</v>
      </c>
      <c r="D25" s="1" t="s">
        <v>43</v>
      </c>
      <c r="E25" s="1" t="s">
        <v>59</v>
      </c>
      <c r="F25" s="2" t="s">
        <v>58</v>
      </c>
      <c r="G25" s="14">
        <v>39.200000000000003</v>
      </c>
      <c r="H25" s="14">
        <v>3</v>
      </c>
      <c r="I25" s="14">
        <v>14.8</v>
      </c>
      <c r="J25" s="14">
        <v>13.7</v>
      </c>
      <c r="K25" s="14">
        <v>0.28999999999999998</v>
      </c>
      <c r="L25" s="14">
        <v>4.5</v>
      </c>
      <c r="M25" s="14">
        <v>12.3</v>
      </c>
      <c r="N25" s="14">
        <v>4.9000000000000004</v>
      </c>
      <c r="O25" s="14">
        <v>5.4</v>
      </c>
      <c r="P25" s="14">
        <v>1.7</v>
      </c>
      <c r="Q25" s="14"/>
      <c r="R25" s="14"/>
      <c r="S25" s="15">
        <f t="shared" si="0"/>
        <v>99.79000000000002</v>
      </c>
      <c r="U25" s="86">
        <v>0.70565800000000001</v>
      </c>
      <c r="V25" s="86">
        <v>0.51255600000000001</v>
      </c>
      <c r="W25" s="14">
        <v>19.399999999999999</v>
      </c>
      <c r="X25" s="14">
        <v>15.72</v>
      </c>
      <c r="Y25" s="14">
        <v>40.04</v>
      </c>
      <c r="Z25" s="14">
        <f t="shared" si="73"/>
        <v>2.0639175257731961</v>
      </c>
      <c r="AA25" s="14">
        <f t="shared" si="74"/>
        <v>0.81030927835051558</v>
      </c>
      <c r="AB25" s="14">
        <f t="shared" si="75"/>
        <v>12.604000000000148</v>
      </c>
      <c r="AC25" s="14">
        <f t="shared" si="76"/>
        <v>95.839999999999748</v>
      </c>
      <c r="AD25" s="14"/>
      <c r="AF25" s="19">
        <f t="shared" si="1"/>
        <v>0.43358584999852096</v>
      </c>
      <c r="AG25" s="20">
        <f t="shared" si="2"/>
        <v>17985</v>
      </c>
      <c r="AH25" s="20">
        <f t="shared" si="3"/>
        <v>44830.8</v>
      </c>
      <c r="AI25" s="20">
        <f t="shared" si="77"/>
        <v>7418.8</v>
      </c>
      <c r="AJ25" s="19">
        <f t="shared" si="4"/>
        <v>10.3</v>
      </c>
      <c r="AK25" s="19">
        <f t="shared" si="5"/>
        <v>1.1020408163265305</v>
      </c>
      <c r="AL25" s="19">
        <f t="shared" si="6"/>
        <v>0.90740740740740744</v>
      </c>
      <c r="AM25" s="19">
        <f t="shared" si="7"/>
        <v>0.83108108108108114</v>
      </c>
      <c r="AN25" s="19">
        <f t="shared" si="8"/>
        <v>0.93956554269167947</v>
      </c>
      <c r="AO25" s="118">
        <f t="shared" si="9"/>
        <v>-638.60929454831808</v>
      </c>
      <c r="AP25" s="118">
        <f t="shared" si="10"/>
        <v>1833.4624340708765</v>
      </c>
      <c r="AQ25" s="19">
        <f t="shared" si="11"/>
        <v>0.4080686326197423</v>
      </c>
      <c r="AR25" s="19">
        <f t="shared" si="12"/>
        <v>0.93956554269167947</v>
      </c>
      <c r="AS25" s="118">
        <f t="shared" si="13"/>
        <v>-638.60929454831808</v>
      </c>
      <c r="AT25" s="118">
        <f t="shared" si="14"/>
        <v>1833.4624340708765</v>
      </c>
      <c r="AU25" s="14">
        <f t="shared" si="15"/>
        <v>0.13775510204081631</v>
      </c>
      <c r="AV25" s="14">
        <f t="shared" si="16"/>
        <v>0.39492167326562228</v>
      </c>
      <c r="AX25" s="118">
        <v>133</v>
      </c>
      <c r="AY25" s="118">
        <v>2379</v>
      </c>
      <c r="AZ25" s="118">
        <v>2107</v>
      </c>
      <c r="BB25" s="118"/>
      <c r="BC25" s="118"/>
      <c r="BE25" s="118"/>
      <c r="BF25" s="118"/>
      <c r="BG25" s="118"/>
      <c r="BH25" s="118"/>
      <c r="BI25" s="118">
        <v>40</v>
      </c>
      <c r="BJ25" s="118">
        <v>326</v>
      </c>
      <c r="BK25" s="118">
        <v>293</v>
      </c>
      <c r="BL25" s="117">
        <v>4.5999999999999996</v>
      </c>
      <c r="BM25" s="117">
        <v>14.5</v>
      </c>
      <c r="BN25" s="117">
        <v>179</v>
      </c>
      <c r="BO25" s="117">
        <v>334</v>
      </c>
      <c r="BP25" s="117">
        <v>37</v>
      </c>
      <c r="BQ25" s="117">
        <v>123</v>
      </c>
      <c r="BR25" s="14">
        <v>18.399999999999999</v>
      </c>
      <c r="BS25" s="14">
        <v>5.0999999999999996</v>
      </c>
      <c r="BT25" s="117">
        <v>13.1</v>
      </c>
      <c r="BU25" s="14">
        <v>1.63</v>
      </c>
      <c r="BV25" s="14">
        <v>8</v>
      </c>
      <c r="BW25" s="14">
        <v>1.46</v>
      </c>
      <c r="BX25" s="14">
        <v>3.6</v>
      </c>
      <c r="BY25" s="14">
        <v>0.49</v>
      </c>
      <c r="BZ25" s="14">
        <v>3</v>
      </c>
      <c r="CA25" s="14">
        <v>0.41</v>
      </c>
      <c r="CB25" s="117">
        <v>5.8</v>
      </c>
      <c r="CC25" s="117">
        <v>19.100000000000001</v>
      </c>
      <c r="CD25" s="118">
        <v>7.2</v>
      </c>
      <c r="CE25" s="118"/>
      <c r="CF25" s="118"/>
      <c r="CG25" s="22">
        <f t="shared" si="17"/>
        <v>577.41935483870964</v>
      </c>
      <c r="CH25" s="22">
        <f t="shared" si="18"/>
        <v>413.36633663366337</v>
      </c>
      <c r="CI25" s="22">
        <f t="shared" si="19"/>
        <v>303.27868852459017</v>
      </c>
      <c r="CJ25" s="22">
        <f t="shared" si="20"/>
        <v>205</v>
      </c>
      <c r="CK25" s="22">
        <f t="shared" si="72"/>
        <v>94.358974358974351</v>
      </c>
      <c r="CL25" s="22">
        <f t="shared" si="21"/>
        <v>68.918918918918919</v>
      </c>
      <c r="CM25" s="22">
        <f t="shared" si="22"/>
        <v>50.579150579150578</v>
      </c>
      <c r="CN25" s="22">
        <f t="shared" si="23"/>
        <v>34.388185654008439</v>
      </c>
      <c r="CO25" s="22">
        <f t="shared" si="24"/>
        <v>24.844720496894411</v>
      </c>
      <c r="CP25" s="22">
        <f t="shared" si="25"/>
        <v>20.33426183844011</v>
      </c>
      <c r="CQ25" s="22">
        <f t="shared" si="26"/>
        <v>17.142857142857142</v>
      </c>
      <c r="CR25" s="22">
        <f t="shared" si="27"/>
        <v>15.123456790123457</v>
      </c>
      <c r="CS25" s="22">
        <f t="shared" si="28"/>
        <v>14.354066985645934</v>
      </c>
      <c r="CT25" s="22">
        <f t="shared" si="29"/>
        <v>12.812499999999998</v>
      </c>
      <c r="CU25" s="22">
        <f t="shared" si="30"/>
        <v>7.1911262798634814</v>
      </c>
      <c r="CV25" s="117">
        <f t="shared" si="31"/>
        <v>11.770949720670391</v>
      </c>
      <c r="CW25" s="22">
        <f t="shared" si="32"/>
        <v>0.61092150170648463</v>
      </c>
      <c r="CX25" s="20">
        <f t="shared" si="33"/>
        <v>61.382252559726965</v>
      </c>
      <c r="CY25" s="22">
        <f t="shared" si="34"/>
        <v>57.586206896551722</v>
      </c>
      <c r="CZ25" s="22">
        <f t="shared" si="35"/>
        <v>40.694444444444443</v>
      </c>
      <c r="DA25" s="22">
        <f t="shared" si="36"/>
        <v>7.2282608695652177</v>
      </c>
      <c r="DB25" s="22">
        <f t="shared" si="37"/>
        <v>1.1126279863481228</v>
      </c>
      <c r="DC25" s="22">
        <f t="shared" si="38"/>
        <v>110.31413612565444</v>
      </c>
      <c r="DD25" s="22">
        <f t="shared" si="78"/>
        <v>1.317241379310345</v>
      </c>
      <c r="DE25" s="22">
        <f t="shared" si="79"/>
        <v>4.833333333333333</v>
      </c>
      <c r="DF25" s="22">
        <f t="shared" si="39"/>
        <v>6.3666666666666671</v>
      </c>
      <c r="DG25" s="19">
        <f t="shared" si="40"/>
        <v>7.3250000000000002</v>
      </c>
      <c r="DH25" s="20">
        <f t="shared" si="41"/>
        <v>250.45139664804472</v>
      </c>
      <c r="DI25" s="19">
        <f t="shared" si="42"/>
        <v>2.019924046029109</v>
      </c>
      <c r="DJ25" s="22">
        <f t="shared" si="43"/>
        <v>436.58536585365857</v>
      </c>
      <c r="DK25" s="22">
        <f t="shared" si="44"/>
        <v>45.066876475216368</v>
      </c>
      <c r="DL25" s="22">
        <f t="shared" si="45"/>
        <v>6.1193899018232818</v>
      </c>
      <c r="DM25" s="22">
        <f t="shared" si="46"/>
        <v>59.666666666666664</v>
      </c>
      <c r="DN25" s="22">
        <f t="shared" si="47"/>
        <v>6.1333333333333329</v>
      </c>
      <c r="DO25" s="22">
        <f t="shared" si="48"/>
        <v>3.7398373983739831E-2</v>
      </c>
      <c r="DP25" s="20">
        <f t="shared" si="49"/>
        <v>793</v>
      </c>
      <c r="DQ25" s="22">
        <f t="shared" si="50"/>
        <v>19.341463414634145</v>
      </c>
      <c r="DR25" s="22">
        <f t="shared" si="51"/>
        <v>34.436346608546373</v>
      </c>
      <c r="DS25" s="19">
        <f t="shared" si="52"/>
        <v>0.99761066825481115</v>
      </c>
      <c r="DT25" s="23">
        <f t="shared" si="53"/>
        <v>4.2034468263976461E-4</v>
      </c>
      <c r="DU25" s="22">
        <f t="shared" si="54"/>
        <v>8.15</v>
      </c>
      <c r="DV25" s="22">
        <f t="shared" si="80"/>
        <v>20.206896551724139</v>
      </c>
      <c r="DW25" s="22">
        <f t="shared" si="55"/>
        <v>0.85538502024539165</v>
      </c>
      <c r="DX25" s="22">
        <f t="shared" si="56"/>
        <v>89.877300613496928</v>
      </c>
      <c r="DY25" s="22">
        <f t="shared" si="57"/>
        <v>5.8588957055214728</v>
      </c>
      <c r="DZ25" s="19">
        <f t="shared" si="58"/>
        <v>1.2215648658736516E-2</v>
      </c>
      <c r="EA25" s="23"/>
      <c r="EB25" s="19">
        <f t="shared" si="59"/>
        <v>6.5187713310580209E-2</v>
      </c>
      <c r="EC25" s="19">
        <f t="shared" si="60"/>
        <v>0.11375670438871814</v>
      </c>
      <c r="ED25" s="19"/>
      <c r="EE25" s="19">
        <f t="shared" si="61"/>
        <v>39.282493235795165</v>
      </c>
      <c r="EF25" s="19">
        <f t="shared" si="62"/>
        <v>3.0063132578414664</v>
      </c>
      <c r="EG25" s="19">
        <f t="shared" si="63"/>
        <v>14.831145405351235</v>
      </c>
      <c r="EH25" s="19">
        <f t="shared" si="64"/>
        <v>13.728830544142697</v>
      </c>
      <c r="EI25" s="19">
        <f t="shared" si="65"/>
        <v>0.29061028159134172</v>
      </c>
      <c r="EJ25" s="19">
        <f t="shared" si="66"/>
        <v>4.5094698867621998</v>
      </c>
      <c r="EK25" s="19">
        <f t="shared" si="67"/>
        <v>12.325884357150013</v>
      </c>
      <c r="EL25" s="19">
        <f t="shared" si="68"/>
        <v>4.9103116544743957</v>
      </c>
      <c r="EM25" s="19">
        <f t="shared" si="69"/>
        <v>5.41136386411464</v>
      </c>
      <c r="EN25" s="19">
        <f t="shared" si="70"/>
        <v>1.7035775127768309</v>
      </c>
      <c r="EO25" s="19">
        <f t="shared" si="71"/>
        <v>100</v>
      </c>
      <c r="EP25" s="19"/>
    </row>
    <row r="26" spans="1:146">
      <c r="A26" s="1" t="s">
        <v>45</v>
      </c>
      <c r="B26" s="36" t="s">
        <v>60</v>
      </c>
      <c r="C26" s="1">
        <v>1</v>
      </c>
      <c r="D26" s="1" t="s">
        <v>43</v>
      </c>
      <c r="E26" s="1" t="s">
        <v>59</v>
      </c>
      <c r="F26" s="2" t="s">
        <v>58</v>
      </c>
      <c r="G26" s="14">
        <v>39.200000000000003</v>
      </c>
      <c r="H26" s="14">
        <v>3.2</v>
      </c>
      <c r="I26" s="14">
        <v>10.6</v>
      </c>
      <c r="J26" s="14">
        <v>12.6</v>
      </c>
      <c r="K26" s="14">
        <v>0.22</v>
      </c>
      <c r="L26" s="14">
        <v>10.4</v>
      </c>
      <c r="M26" s="14">
        <v>16.5</v>
      </c>
      <c r="N26" s="14">
        <v>2.6</v>
      </c>
      <c r="O26" s="14">
        <v>2.6</v>
      </c>
      <c r="P26" s="14">
        <v>1.3</v>
      </c>
      <c r="Q26" s="14"/>
      <c r="R26" s="14"/>
      <c r="S26" s="15">
        <f t="shared" si="0"/>
        <v>99.22</v>
      </c>
      <c r="U26" s="86">
        <v>0.70450699999999999</v>
      </c>
      <c r="V26" s="86"/>
      <c r="W26" s="14">
        <v>19.510000000000002</v>
      </c>
      <c r="X26" s="14">
        <v>15.65</v>
      </c>
      <c r="Y26" s="14">
        <v>39.51</v>
      </c>
      <c r="Z26" s="14">
        <f t="shared" si="73"/>
        <v>2.0251153254741157</v>
      </c>
      <c r="AA26" s="14">
        <f t="shared" si="74"/>
        <v>0.80215274218349564</v>
      </c>
      <c r="AB26" s="14">
        <f t="shared" si="75"/>
        <v>4.411600000000071</v>
      </c>
      <c r="AC26" s="14">
        <f t="shared" si="76"/>
        <v>29.540999999999684</v>
      </c>
      <c r="AD26" s="14"/>
      <c r="AF26" s="19">
        <f t="shared" si="1"/>
        <v>0.65795443446747948</v>
      </c>
      <c r="AG26" s="20">
        <f t="shared" si="2"/>
        <v>19184</v>
      </c>
      <c r="AH26" s="20">
        <f t="shared" si="3"/>
        <v>21585.200000000001</v>
      </c>
      <c r="AI26" s="20">
        <f t="shared" si="77"/>
        <v>5673.2</v>
      </c>
      <c r="AJ26" s="19">
        <f t="shared" si="4"/>
        <v>5.2</v>
      </c>
      <c r="AK26" s="19">
        <f t="shared" si="5"/>
        <v>1</v>
      </c>
      <c r="AL26" s="19">
        <f t="shared" si="6"/>
        <v>1</v>
      </c>
      <c r="AM26" s="19">
        <f t="shared" si="7"/>
        <v>1.5566037735849054</v>
      </c>
      <c r="AN26" s="19">
        <f t="shared" si="8"/>
        <v>0.66899096626220733</v>
      </c>
      <c r="AO26" s="118">
        <f t="shared" si="9"/>
        <v>848.43835606804953</v>
      </c>
      <c r="AP26" s="118">
        <f t="shared" si="10"/>
        <v>2508.9588227975814</v>
      </c>
      <c r="AQ26" s="19">
        <f t="shared" si="11"/>
        <v>0.28578951273783626</v>
      </c>
      <c r="AR26" s="19">
        <f t="shared" si="12"/>
        <v>0.66899096626220733</v>
      </c>
      <c r="AS26" s="118">
        <f t="shared" si="13"/>
        <v>848.43835606804953</v>
      </c>
      <c r="AT26" s="118">
        <f t="shared" si="14"/>
        <v>2508.9588227975814</v>
      </c>
      <c r="AU26" s="14">
        <f t="shared" si="15"/>
        <v>6.6326530612244902E-2</v>
      </c>
      <c r="AV26" s="14">
        <f t="shared" si="16"/>
        <v>0.26548892360693827</v>
      </c>
      <c r="AX26" s="118">
        <v>60</v>
      </c>
      <c r="AY26" s="118">
        <v>1776</v>
      </c>
      <c r="AZ26" s="118">
        <v>1199</v>
      </c>
      <c r="BB26" s="118"/>
      <c r="BC26" s="118"/>
      <c r="BE26" s="118"/>
      <c r="BF26" s="118"/>
      <c r="BG26" s="118"/>
      <c r="BH26" s="118"/>
      <c r="BI26" s="118">
        <v>29</v>
      </c>
      <c r="BJ26" s="118">
        <v>282</v>
      </c>
      <c r="BK26" s="118">
        <v>173</v>
      </c>
      <c r="BL26" s="117">
        <v>5.5</v>
      </c>
      <c r="BM26" s="117">
        <v>9.1</v>
      </c>
      <c r="BN26" s="117">
        <v>116</v>
      </c>
      <c r="BO26" s="117">
        <v>224</v>
      </c>
      <c r="BP26" s="117">
        <v>25</v>
      </c>
      <c r="BQ26" s="117">
        <v>90</v>
      </c>
      <c r="BR26" s="14">
        <v>14.4</v>
      </c>
      <c r="BS26" s="14">
        <v>4</v>
      </c>
      <c r="BT26" s="117">
        <v>10.3</v>
      </c>
      <c r="BU26" s="14">
        <v>1.26</v>
      </c>
      <c r="BV26" s="14">
        <v>6</v>
      </c>
      <c r="BW26" s="14">
        <v>1.06</v>
      </c>
      <c r="BX26" s="14">
        <v>2.5</v>
      </c>
      <c r="BY26" s="14">
        <v>0.33</v>
      </c>
      <c r="BZ26" s="14">
        <v>2</v>
      </c>
      <c r="CA26" s="14">
        <v>0.27</v>
      </c>
      <c r="CB26" s="117">
        <v>3.8</v>
      </c>
      <c r="CC26" s="117">
        <v>11.9</v>
      </c>
      <c r="CD26" s="118">
        <v>4.4000000000000004</v>
      </c>
      <c r="CE26" s="118"/>
      <c r="CF26" s="118"/>
      <c r="CG26" s="22">
        <f t="shared" si="17"/>
        <v>374.19354838709677</v>
      </c>
      <c r="CH26" s="22">
        <f t="shared" si="18"/>
        <v>277.22772277227722</v>
      </c>
      <c r="CI26" s="22">
        <f t="shared" si="19"/>
        <v>204.91803278688525</v>
      </c>
      <c r="CJ26" s="22">
        <f t="shared" si="20"/>
        <v>150</v>
      </c>
      <c r="CK26" s="22">
        <f t="shared" si="72"/>
        <v>73.84615384615384</v>
      </c>
      <c r="CL26" s="22">
        <f t="shared" si="21"/>
        <v>54.054054054054056</v>
      </c>
      <c r="CM26" s="22">
        <f t="shared" si="22"/>
        <v>39.768339768339771</v>
      </c>
      <c r="CN26" s="22">
        <f t="shared" si="23"/>
        <v>26.582278481012661</v>
      </c>
      <c r="CO26" s="22">
        <f t="shared" si="24"/>
        <v>18.633540372670808</v>
      </c>
      <c r="CP26" s="22">
        <f t="shared" si="25"/>
        <v>14.763231197771589</v>
      </c>
      <c r="CQ26" s="22">
        <f t="shared" si="26"/>
        <v>11.904761904761905</v>
      </c>
      <c r="CR26" s="22">
        <f t="shared" si="27"/>
        <v>10.185185185185187</v>
      </c>
      <c r="CS26" s="22">
        <f t="shared" si="28"/>
        <v>9.5693779904306222</v>
      </c>
      <c r="CT26" s="22">
        <f t="shared" si="29"/>
        <v>8.4375</v>
      </c>
      <c r="CU26" s="22">
        <f t="shared" si="30"/>
        <v>6.9306358381502893</v>
      </c>
      <c r="CV26" s="117">
        <f t="shared" si="31"/>
        <v>10.336206896551724</v>
      </c>
      <c r="CW26" s="22">
        <f t="shared" si="32"/>
        <v>0.67052023121387283</v>
      </c>
      <c r="CX26" s="20">
        <f t="shared" si="33"/>
        <v>110.89017341040463</v>
      </c>
      <c r="CY26" s="22">
        <f t="shared" si="34"/>
        <v>58.947368421052637</v>
      </c>
      <c r="CZ26" s="22">
        <f t="shared" si="35"/>
        <v>39.318181818181813</v>
      </c>
      <c r="DA26" s="22">
        <f t="shared" si="36"/>
        <v>4.166666666666667</v>
      </c>
      <c r="DB26" s="22">
        <f t="shared" si="37"/>
        <v>1.6300578034682081</v>
      </c>
      <c r="DC26" s="22">
        <f t="shared" si="38"/>
        <v>100.75630252100839</v>
      </c>
      <c r="DD26" s="22">
        <f t="shared" si="78"/>
        <v>1.3076923076923077</v>
      </c>
      <c r="DE26" s="22">
        <f t="shared" si="79"/>
        <v>4.55</v>
      </c>
      <c r="DF26" s="22">
        <f t="shared" si="39"/>
        <v>5.95</v>
      </c>
      <c r="DG26" s="19">
        <f t="shared" si="40"/>
        <v>5.9655172413793105</v>
      </c>
      <c r="DH26" s="20">
        <f t="shared" si="41"/>
        <v>186.0793103448276</v>
      </c>
      <c r="DI26" s="19">
        <f t="shared" si="42"/>
        <v>2.1986881609420164</v>
      </c>
      <c r="DJ26" s="22">
        <f t="shared" si="43"/>
        <v>429.62962962962962</v>
      </c>
      <c r="DK26" s="22">
        <f t="shared" si="44"/>
        <v>44.348864994026286</v>
      </c>
      <c r="DL26" s="22">
        <f t="shared" si="45"/>
        <v>5.067204301075269</v>
      </c>
      <c r="DM26" s="22">
        <f t="shared" si="46"/>
        <v>58</v>
      </c>
      <c r="DN26" s="22">
        <f t="shared" si="47"/>
        <v>7.2</v>
      </c>
      <c r="DO26" s="22">
        <f t="shared" si="48"/>
        <v>6.1111111111111109E-2</v>
      </c>
      <c r="DP26" s="20">
        <f t="shared" si="49"/>
        <v>888</v>
      </c>
      <c r="DQ26" s="22">
        <f t="shared" si="50"/>
        <v>19.733333333333334</v>
      </c>
      <c r="DR26" s="22">
        <f t="shared" si="51"/>
        <v>32.772554228799613</v>
      </c>
      <c r="DS26" s="19">
        <f t="shared" si="52"/>
        <v>0.99746025775504066</v>
      </c>
      <c r="DT26" s="23">
        <f t="shared" si="53"/>
        <v>5.6306306306306306E-4</v>
      </c>
      <c r="DU26" s="22">
        <f t="shared" si="54"/>
        <v>9.7241379310344822</v>
      </c>
      <c r="DV26" s="22">
        <f t="shared" si="80"/>
        <v>19.010989010989011</v>
      </c>
      <c r="DW26" s="22">
        <f t="shared" si="55"/>
        <v>0.61897397322266179</v>
      </c>
      <c r="DX26" s="22">
        <f t="shared" si="56"/>
        <v>61.347517730496456</v>
      </c>
      <c r="DY26" s="22">
        <f t="shared" si="57"/>
        <v>4.2198581560283692</v>
      </c>
      <c r="DZ26" s="19">
        <f t="shared" si="58"/>
        <v>1.248476858232956E-2</v>
      </c>
      <c r="EA26" s="23"/>
      <c r="EB26" s="19">
        <f t="shared" si="59"/>
        <v>6.8786127167630065E-2</v>
      </c>
      <c r="EC26" s="19">
        <f t="shared" si="60"/>
        <v>0.1107165862820659</v>
      </c>
      <c r="ED26" s="19"/>
      <c r="EE26" s="19">
        <f t="shared" si="61"/>
        <v>39.508163676678095</v>
      </c>
      <c r="EF26" s="19">
        <f t="shared" si="62"/>
        <v>3.2251562185043339</v>
      </c>
      <c r="EG26" s="19">
        <f t="shared" si="63"/>
        <v>10.683329973795606</v>
      </c>
      <c r="EH26" s="19">
        <f t="shared" si="64"/>
        <v>12.699052610360814</v>
      </c>
      <c r="EI26" s="19">
        <f t="shared" si="65"/>
        <v>0.22172949002217296</v>
      </c>
      <c r="EJ26" s="19">
        <f t="shared" si="66"/>
        <v>10.481757710139085</v>
      </c>
      <c r="EK26" s="19">
        <f t="shared" si="67"/>
        <v>16.62971175166297</v>
      </c>
      <c r="EL26" s="19">
        <f t="shared" si="68"/>
        <v>2.6204394275347713</v>
      </c>
      <c r="EM26" s="19">
        <f t="shared" si="69"/>
        <v>2.6204394275347713</v>
      </c>
      <c r="EN26" s="19">
        <f t="shared" si="70"/>
        <v>1.3102197137673857</v>
      </c>
      <c r="EO26" s="19">
        <f t="shared" si="71"/>
        <v>100.00000000000001</v>
      </c>
      <c r="EP26" s="19"/>
    </row>
    <row r="27" spans="1:146">
      <c r="A27" s="1" t="s">
        <v>45</v>
      </c>
      <c r="B27" s="36" t="s">
        <v>60</v>
      </c>
      <c r="C27" s="1">
        <v>1</v>
      </c>
      <c r="D27" s="1" t="s">
        <v>43</v>
      </c>
      <c r="E27" s="1" t="s">
        <v>59</v>
      </c>
      <c r="F27" s="2" t="s">
        <v>58</v>
      </c>
      <c r="G27" s="14">
        <v>40.6</v>
      </c>
      <c r="H27" s="14">
        <v>2.9</v>
      </c>
      <c r="I27" s="14">
        <v>10.7</v>
      </c>
      <c r="J27" s="14">
        <v>12.3</v>
      </c>
      <c r="K27" s="14">
        <v>0.2</v>
      </c>
      <c r="L27" s="14">
        <v>13.2</v>
      </c>
      <c r="M27" s="14">
        <v>13.6</v>
      </c>
      <c r="N27" s="14">
        <v>2.1</v>
      </c>
      <c r="O27" s="14">
        <v>2.4</v>
      </c>
      <c r="P27" s="14">
        <v>0.8</v>
      </c>
      <c r="Q27" s="14"/>
      <c r="R27" s="14"/>
      <c r="S27" s="15">
        <f t="shared" si="0"/>
        <v>98.8</v>
      </c>
      <c r="U27" s="86">
        <v>0.70434399999999997</v>
      </c>
      <c r="V27" s="86">
        <v>0.51274200000000003</v>
      </c>
      <c r="W27" s="14">
        <v>19.3</v>
      </c>
      <c r="X27" s="14">
        <v>15.6</v>
      </c>
      <c r="Y27" s="14">
        <v>39.409999999999997</v>
      </c>
      <c r="Z27" s="14">
        <f t="shared" si="73"/>
        <v>2.0419689119170981</v>
      </c>
      <c r="AA27" s="14">
        <f t="shared" si="74"/>
        <v>0.80829015544041449</v>
      </c>
      <c r="AB27" s="14">
        <f t="shared" si="75"/>
        <v>1.688000000000045</v>
      </c>
      <c r="AC27" s="14">
        <f t="shared" si="76"/>
        <v>44.929999999999382</v>
      </c>
      <c r="AD27" s="14"/>
      <c r="AF27" s="19">
        <f t="shared" si="1"/>
        <v>0.71436929119619985</v>
      </c>
      <c r="AG27" s="20">
        <f t="shared" si="2"/>
        <v>17385.5</v>
      </c>
      <c r="AH27" s="20">
        <f t="shared" si="3"/>
        <v>19924.8</v>
      </c>
      <c r="AI27" s="20">
        <f t="shared" si="77"/>
        <v>3491.2000000000003</v>
      </c>
      <c r="AJ27" s="19">
        <f t="shared" si="4"/>
        <v>4.5</v>
      </c>
      <c r="AK27" s="19">
        <f t="shared" si="5"/>
        <v>1.1428571428571428</v>
      </c>
      <c r="AL27" s="19">
        <f t="shared" si="6"/>
        <v>0.87500000000000011</v>
      </c>
      <c r="AM27" s="19">
        <f t="shared" si="7"/>
        <v>1.2710280373831777</v>
      </c>
      <c r="AN27" s="19">
        <f t="shared" si="8"/>
        <v>0.5656360059693315</v>
      </c>
      <c r="AO27" s="118">
        <f t="shared" si="9"/>
        <v>1184.701228157121</v>
      </c>
      <c r="AP27" s="118">
        <f t="shared" si="10"/>
        <v>2348.2158628925822</v>
      </c>
      <c r="AQ27" s="19">
        <f t="shared" si="11"/>
        <v>0.34764305652831784</v>
      </c>
      <c r="AR27" s="19">
        <f t="shared" si="12"/>
        <v>0.5656360059693315</v>
      </c>
      <c r="AS27" s="118">
        <f t="shared" si="13"/>
        <v>1184.701228157121</v>
      </c>
      <c r="AT27" s="118">
        <f t="shared" si="14"/>
        <v>2348.2158628925822</v>
      </c>
      <c r="AU27" s="14">
        <f t="shared" si="15"/>
        <v>5.9113300492610835E-2</v>
      </c>
      <c r="AV27" s="14">
        <f t="shared" si="16"/>
        <v>0.24277635573546044</v>
      </c>
      <c r="AX27" s="118">
        <v>60</v>
      </c>
      <c r="AY27" s="118">
        <v>1188</v>
      </c>
      <c r="AZ27" s="118">
        <v>940</v>
      </c>
      <c r="BB27" s="118"/>
      <c r="BC27" s="118"/>
      <c r="BE27" s="118"/>
      <c r="BF27" s="118"/>
      <c r="BG27" s="118"/>
      <c r="BH27" s="118"/>
      <c r="BI27" s="118">
        <v>27</v>
      </c>
      <c r="BJ27" s="118">
        <v>279</v>
      </c>
      <c r="BK27" s="118">
        <v>128</v>
      </c>
      <c r="BL27" s="117">
        <v>5.9</v>
      </c>
      <c r="BM27" s="117">
        <v>6.7</v>
      </c>
      <c r="BN27" s="117">
        <v>87</v>
      </c>
      <c r="BO27" s="117">
        <v>171</v>
      </c>
      <c r="BP27" s="117">
        <v>20</v>
      </c>
      <c r="BQ27" s="117">
        <v>71</v>
      </c>
      <c r="BR27" s="14">
        <v>12</v>
      </c>
      <c r="BS27" s="14">
        <v>3.7</v>
      </c>
      <c r="BT27" s="117">
        <v>8.9</v>
      </c>
      <c r="BU27" s="14">
        <v>1.1200000000000001</v>
      </c>
      <c r="BV27" s="14">
        <v>5.5</v>
      </c>
      <c r="BW27" s="14">
        <v>0.99</v>
      </c>
      <c r="BX27" s="14">
        <v>2.4</v>
      </c>
      <c r="BY27" s="14">
        <v>0.32</v>
      </c>
      <c r="BZ27" s="14">
        <v>2</v>
      </c>
      <c r="CA27" s="14">
        <v>0.26</v>
      </c>
      <c r="CB27" s="117">
        <v>4.7</v>
      </c>
      <c r="CC27" s="117">
        <v>9.8000000000000007</v>
      </c>
      <c r="CD27" s="118">
        <v>2.8</v>
      </c>
      <c r="CE27" s="118"/>
      <c r="CF27" s="118"/>
      <c r="CG27" s="22">
        <f t="shared" si="17"/>
        <v>280.64516129032256</v>
      </c>
      <c r="CH27" s="22">
        <f t="shared" si="18"/>
        <v>211.63366336633663</v>
      </c>
      <c r="CI27" s="22">
        <f t="shared" si="19"/>
        <v>163.9344262295082</v>
      </c>
      <c r="CJ27" s="22">
        <f t="shared" si="20"/>
        <v>118.33333333333334</v>
      </c>
      <c r="CK27" s="22">
        <f t="shared" si="72"/>
        <v>61.538461538461533</v>
      </c>
      <c r="CL27" s="22">
        <f t="shared" si="21"/>
        <v>50.000000000000007</v>
      </c>
      <c r="CM27" s="22">
        <f t="shared" si="22"/>
        <v>34.362934362934361</v>
      </c>
      <c r="CN27" s="22">
        <f t="shared" si="23"/>
        <v>23.628691983122366</v>
      </c>
      <c r="CO27" s="22">
        <f t="shared" si="24"/>
        <v>17.080745341614907</v>
      </c>
      <c r="CP27" s="22">
        <f t="shared" si="25"/>
        <v>13.788300835654596</v>
      </c>
      <c r="CQ27" s="22">
        <f t="shared" si="26"/>
        <v>11.428571428571429</v>
      </c>
      <c r="CR27" s="22">
        <f t="shared" si="27"/>
        <v>9.8765432098765444</v>
      </c>
      <c r="CS27" s="22">
        <f t="shared" si="28"/>
        <v>9.5693779904306222</v>
      </c>
      <c r="CT27" s="22">
        <f t="shared" si="29"/>
        <v>8.125</v>
      </c>
      <c r="CU27" s="22">
        <f t="shared" si="30"/>
        <v>7.34375</v>
      </c>
      <c r="CV27" s="117">
        <f t="shared" si="31"/>
        <v>10.804597701149426</v>
      </c>
      <c r="CW27" s="22">
        <f t="shared" si="32"/>
        <v>0.6796875</v>
      </c>
      <c r="CX27" s="20">
        <f t="shared" si="33"/>
        <v>135.82421875</v>
      </c>
      <c r="CY27" s="22">
        <f t="shared" si="34"/>
        <v>36.382978723404257</v>
      </c>
      <c r="CZ27" s="22">
        <f t="shared" si="35"/>
        <v>45.714285714285715</v>
      </c>
      <c r="DA27" s="22">
        <f t="shared" si="36"/>
        <v>5</v>
      </c>
      <c r="DB27" s="22">
        <f t="shared" si="37"/>
        <v>2.1796875</v>
      </c>
      <c r="DC27" s="22">
        <f t="shared" si="38"/>
        <v>95.918367346938766</v>
      </c>
      <c r="DD27" s="22">
        <f t="shared" si="78"/>
        <v>1.4626865671641791</v>
      </c>
      <c r="DE27" s="22">
        <f t="shared" si="79"/>
        <v>3.35</v>
      </c>
      <c r="DF27" s="22">
        <f t="shared" si="39"/>
        <v>4.9000000000000004</v>
      </c>
      <c r="DG27" s="19">
        <f t="shared" si="40"/>
        <v>4.7407407407407405</v>
      </c>
      <c r="DH27" s="20">
        <f t="shared" si="41"/>
        <v>229.02068965517242</v>
      </c>
      <c r="DI27" s="19">
        <f t="shared" si="42"/>
        <v>2.1225399839430241</v>
      </c>
      <c r="DJ27" s="22">
        <f t="shared" si="43"/>
        <v>334.61538461538458</v>
      </c>
      <c r="DK27" s="22">
        <f t="shared" si="44"/>
        <v>34.540942928039698</v>
      </c>
      <c r="DL27" s="22">
        <f t="shared" si="45"/>
        <v>4.560483870967742</v>
      </c>
      <c r="DM27" s="22">
        <f t="shared" si="46"/>
        <v>43.5</v>
      </c>
      <c r="DN27" s="22">
        <f t="shared" si="47"/>
        <v>6</v>
      </c>
      <c r="DO27" s="22">
        <f t="shared" si="48"/>
        <v>8.3098591549295775E-2</v>
      </c>
      <c r="DP27" s="20">
        <f t="shared" si="49"/>
        <v>594</v>
      </c>
      <c r="DQ27" s="22">
        <f t="shared" si="50"/>
        <v>16.732394366197184</v>
      </c>
      <c r="DR27" s="22">
        <f t="shared" si="51"/>
        <v>25.83437754081465</v>
      </c>
      <c r="DS27" s="19">
        <f t="shared" si="52"/>
        <v>1.0873054520544887</v>
      </c>
      <c r="DT27" s="23">
        <f t="shared" si="53"/>
        <v>8.4175084175084171E-4</v>
      </c>
      <c r="DU27" s="22">
        <f t="shared" si="54"/>
        <v>10.333333333333334</v>
      </c>
      <c r="DV27" s="22">
        <f t="shared" si="80"/>
        <v>19.104477611940297</v>
      </c>
      <c r="DW27" s="22">
        <f t="shared" si="55"/>
        <v>0.46850456238882954</v>
      </c>
      <c r="DX27" s="22">
        <f t="shared" si="56"/>
        <v>45.878136200716845</v>
      </c>
      <c r="DY27" s="22">
        <f t="shared" si="57"/>
        <v>3.5125448028673838</v>
      </c>
      <c r="DZ27" s="19">
        <f t="shared" si="58"/>
        <v>1.7039490723701249E-2</v>
      </c>
      <c r="EA27" s="23"/>
      <c r="EB27" s="19">
        <f t="shared" si="59"/>
        <v>7.6562500000000006E-2</v>
      </c>
      <c r="EC27" s="19">
        <f t="shared" si="60"/>
        <v>0.17522977710769957</v>
      </c>
      <c r="ED27" s="19"/>
      <c r="EE27" s="19">
        <f t="shared" si="61"/>
        <v>41.093117408906885</v>
      </c>
      <c r="EF27" s="19">
        <f t="shared" si="62"/>
        <v>2.9352226720647776</v>
      </c>
      <c r="EG27" s="19">
        <f t="shared" si="63"/>
        <v>10.82995951417004</v>
      </c>
      <c r="EH27" s="19">
        <f t="shared" si="64"/>
        <v>12.449392712550608</v>
      </c>
      <c r="EI27" s="19">
        <f t="shared" si="65"/>
        <v>0.20242914979757085</v>
      </c>
      <c r="EJ27" s="19">
        <f t="shared" si="66"/>
        <v>13.360323886639677</v>
      </c>
      <c r="EK27" s="19">
        <f t="shared" si="67"/>
        <v>13.765182186234819</v>
      </c>
      <c r="EL27" s="19">
        <f t="shared" si="68"/>
        <v>2.1255060728744941</v>
      </c>
      <c r="EM27" s="19">
        <f t="shared" si="69"/>
        <v>2.4291497975708505</v>
      </c>
      <c r="EN27" s="19">
        <f t="shared" si="70"/>
        <v>0.80971659919028338</v>
      </c>
      <c r="EO27" s="19">
        <f t="shared" si="71"/>
        <v>100</v>
      </c>
      <c r="EP27" s="19"/>
    </row>
    <row r="28" spans="1:146">
      <c r="A28" s="1" t="s">
        <v>45</v>
      </c>
      <c r="B28" s="36" t="s">
        <v>60</v>
      </c>
      <c r="C28" s="1">
        <v>1</v>
      </c>
      <c r="D28" s="1" t="s">
        <v>43</v>
      </c>
      <c r="E28" s="1" t="s">
        <v>59</v>
      </c>
      <c r="F28" s="2" t="s">
        <v>58</v>
      </c>
      <c r="G28" s="14">
        <v>38.6</v>
      </c>
      <c r="H28" s="14">
        <v>3.2</v>
      </c>
      <c r="I28" s="14">
        <v>14.6</v>
      </c>
      <c r="J28" s="14">
        <v>13.9</v>
      </c>
      <c r="K28" s="14">
        <v>0.28000000000000003</v>
      </c>
      <c r="L28" s="14">
        <v>4.5999999999999996</v>
      </c>
      <c r="M28" s="14">
        <v>12.5</v>
      </c>
      <c r="N28" s="14">
        <v>5.6</v>
      </c>
      <c r="O28" s="14">
        <v>2.5</v>
      </c>
      <c r="P28" s="14">
        <v>1.7</v>
      </c>
      <c r="Q28" s="14"/>
      <c r="R28" s="14"/>
      <c r="S28" s="15">
        <f t="shared" si="0"/>
        <v>97.48</v>
      </c>
      <c r="U28" s="86">
        <v>0.70449600000000001</v>
      </c>
      <c r="V28" s="86">
        <v>0.51268899999999995</v>
      </c>
      <c r="W28" s="14">
        <v>19.36</v>
      </c>
      <c r="X28" s="14">
        <v>15.62</v>
      </c>
      <c r="Y28" s="14">
        <v>39.520000000000003</v>
      </c>
      <c r="Z28" s="14">
        <f t="shared" si="73"/>
        <v>2.0413223140495869</v>
      </c>
      <c r="AA28" s="14">
        <f t="shared" si="74"/>
        <v>0.80681818181818177</v>
      </c>
      <c r="AB28" s="14">
        <f t="shared" si="75"/>
        <v>3.0375999999998626</v>
      </c>
      <c r="AC28" s="14">
        <f t="shared" si="76"/>
        <v>48.676000000000386</v>
      </c>
      <c r="AD28" s="14"/>
      <c r="AF28" s="19">
        <f t="shared" si="1"/>
        <v>0.43542521163824582</v>
      </c>
      <c r="AG28" s="20">
        <f t="shared" si="2"/>
        <v>19184</v>
      </c>
      <c r="AH28" s="20">
        <f t="shared" si="3"/>
        <v>20755</v>
      </c>
      <c r="AI28" s="20">
        <f t="shared" si="77"/>
        <v>7418.8</v>
      </c>
      <c r="AJ28" s="19">
        <f t="shared" si="4"/>
        <v>8.1</v>
      </c>
      <c r="AK28" s="19">
        <f t="shared" si="5"/>
        <v>0.44642857142857145</v>
      </c>
      <c r="AL28" s="19">
        <f t="shared" si="6"/>
        <v>2.2399999999999998</v>
      </c>
      <c r="AM28" s="19">
        <f t="shared" si="7"/>
        <v>0.85616438356164393</v>
      </c>
      <c r="AN28" s="19">
        <f t="shared" si="8"/>
        <v>0.81631553550054392</v>
      </c>
      <c r="AO28" s="118">
        <f t="shared" si="9"/>
        <v>-262.52853269422269</v>
      </c>
      <c r="AP28" s="118">
        <f t="shared" si="10"/>
        <v>1899.9280240745782</v>
      </c>
      <c r="AQ28" s="19">
        <f t="shared" si="11"/>
        <v>0.42142125801828906</v>
      </c>
      <c r="AR28" s="19">
        <f t="shared" si="12"/>
        <v>0.81631553550054392</v>
      </c>
      <c r="AS28" s="118">
        <f t="shared" si="13"/>
        <v>-262.52853269422269</v>
      </c>
      <c r="AT28" s="118">
        <f t="shared" si="14"/>
        <v>1899.9280240745782</v>
      </c>
      <c r="AU28" s="14">
        <f t="shared" si="15"/>
        <v>6.4766839378238336E-2</v>
      </c>
      <c r="AV28" s="14">
        <f t="shared" si="16"/>
        <v>0.18533868481517027</v>
      </c>
      <c r="AX28" s="118">
        <v>89</v>
      </c>
      <c r="AY28" s="118">
        <v>2099</v>
      </c>
      <c r="AZ28" s="118">
        <v>1862</v>
      </c>
      <c r="BB28" s="118"/>
      <c r="BC28" s="118"/>
      <c r="BE28" s="118"/>
      <c r="BF28" s="118"/>
      <c r="BG28" s="118"/>
      <c r="BH28" s="118"/>
      <c r="BI28" s="118">
        <v>42</v>
      </c>
      <c r="BJ28" s="118">
        <v>363</v>
      </c>
      <c r="BK28" s="118">
        <v>253</v>
      </c>
      <c r="BL28" s="117">
        <v>5.4</v>
      </c>
      <c r="BM28" s="117">
        <v>13</v>
      </c>
      <c r="BN28" s="117">
        <v>169</v>
      </c>
      <c r="BO28" s="117">
        <v>320</v>
      </c>
      <c r="BP28" s="117">
        <v>36</v>
      </c>
      <c r="BQ28" s="117">
        <v>122</v>
      </c>
      <c r="BR28" s="14">
        <v>18.8</v>
      </c>
      <c r="BS28" s="14">
        <v>5.2</v>
      </c>
      <c r="BT28" s="117">
        <v>13.5</v>
      </c>
      <c r="BU28" s="14">
        <v>1.69</v>
      </c>
      <c r="BV28" s="14">
        <v>8.1999999999999993</v>
      </c>
      <c r="BW28" s="14">
        <v>1.5</v>
      </c>
      <c r="BX28" s="14">
        <v>3.7</v>
      </c>
      <c r="BY28" s="14">
        <v>0.51</v>
      </c>
      <c r="BZ28" s="14">
        <v>3.1</v>
      </c>
      <c r="CA28" s="14">
        <v>0.42</v>
      </c>
      <c r="CB28" s="117">
        <v>6.5</v>
      </c>
      <c r="CC28" s="117">
        <v>17.7</v>
      </c>
      <c r="CD28" s="118">
        <v>4.7</v>
      </c>
      <c r="CE28" s="118"/>
      <c r="CF28" s="118"/>
      <c r="CG28" s="22">
        <f t="shared" si="17"/>
        <v>545.16129032258061</v>
      </c>
      <c r="CH28" s="22">
        <f t="shared" si="18"/>
        <v>396.03960396039599</v>
      </c>
      <c r="CI28" s="22">
        <f t="shared" si="19"/>
        <v>295.08196721311475</v>
      </c>
      <c r="CJ28" s="22">
        <f t="shared" si="20"/>
        <v>203.33333333333334</v>
      </c>
      <c r="CK28" s="22">
        <f t="shared" si="72"/>
        <v>96.410256410256409</v>
      </c>
      <c r="CL28" s="22">
        <f t="shared" si="21"/>
        <v>70.270270270270274</v>
      </c>
      <c r="CM28" s="22">
        <f t="shared" si="22"/>
        <v>52.123552123552123</v>
      </c>
      <c r="CN28" s="22">
        <f t="shared" si="23"/>
        <v>35.654008438818565</v>
      </c>
      <c r="CO28" s="22">
        <f t="shared" si="24"/>
        <v>25.465838509316768</v>
      </c>
      <c r="CP28" s="22">
        <f t="shared" si="25"/>
        <v>20.891364902506965</v>
      </c>
      <c r="CQ28" s="22">
        <f t="shared" si="26"/>
        <v>17.61904761904762</v>
      </c>
      <c r="CR28" s="22">
        <f t="shared" si="27"/>
        <v>15.740740740740742</v>
      </c>
      <c r="CS28" s="22">
        <f t="shared" si="28"/>
        <v>14.832535885167465</v>
      </c>
      <c r="CT28" s="22">
        <f t="shared" si="29"/>
        <v>13.125</v>
      </c>
      <c r="CU28" s="22">
        <f t="shared" si="30"/>
        <v>7.3596837944664033</v>
      </c>
      <c r="CV28" s="117">
        <f t="shared" si="31"/>
        <v>11.017751479289942</v>
      </c>
      <c r="CW28" s="22">
        <f t="shared" si="32"/>
        <v>0.66798418972332019</v>
      </c>
      <c r="CX28" s="20">
        <f t="shared" si="33"/>
        <v>75.826086956521735</v>
      </c>
      <c r="CY28" s="22">
        <f t="shared" si="34"/>
        <v>49.230769230769234</v>
      </c>
      <c r="CZ28" s="22">
        <f t="shared" si="35"/>
        <v>53.829787234042549</v>
      </c>
      <c r="DA28" s="22">
        <f t="shared" si="36"/>
        <v>4.7340425531914896</v>
      </c>
      <c r="DB28" s="22">
        <f t="shared" si="37"/>
        <v>1.4347826086956521</v>
      </c>
      <c r="DC28" s="22">
        <f t="shared" si="38"/>
        <v>105.19774011299435</v>
      </c>
      <c r="DD28" s="22">
        <f t="shared" si="78"/>
        <v>1.3615384615384616</v>
      </c>
      <c r="DE28" s="22">
        <f t="shared" si="79"/>
        <v>4.193548387096774</v>
      </c>
      <c r="DF28" s="22">
        <f t="shared" si="39"/>
        <v>5.7096774193548381</v>
      </c>
      <c r="DG28" s="19">
        <f t="shared" si="40"/>
        <v>6.0238095238095237</v>
      </c>
      <c r="DH28" s="20">
        <f t="shared" si="41"/>
        <v>122.81065088757397</v>
      </c>
      <c r="DI28" s="19">
        <f t="shared" si="42"/>
        <v>3.1727228389454312</v>
      </c>
      <c r="DJ28" s="22">
        <f t="shared" si="43"/>
        <v>402.38095238095241</v>
      </c>
      <c r="DK28" s="22">
        <f t="shared" si="44"/>
        <v>41.536098310291855</v>
      </c>
      <c r="DL28" s="22">
        <f t="shared" si="45"/>
        <v>5.6545984900480439</v>
      </c>
      <c r="DM28" s="22">
        <f t="shared" si="46"/>
        <v>54.516129032258064</v>
      </c>
      <c r="DN28" s="22">
        <f t="shared" si="47"/>
        <v>6.064516129032258</v>
      </c>
      <c r="DO28" s="22">
        <f t="shared" si="48"/>
        <v>4.4262295081967218E-2</v>
      </c>
      <c r="DP28" s="20">
        <f t="shared" si="49"/>
        <v>677.09677419354841</v>
      </c>
      <c r="DQ28" s="22">
        <f t="shared" si="50"/>
        <v>17.204918032786885</v>
      </c>
      <c r="DR28" s="22">
        <f t="shared" si="51"/>
        <v>29.609687059974103</v>
      </c>
      <c r="DS28" s="19">
        <f t="shared" si="52"/>
        <v>0.99127237366484267</v>
      </c>
      <c r="DT28" s="23">
        <f t="shared" si="53"/>
        <v>4.764173415912339E-4</v>
      </c>
      <c r="DU28" s="22">
        <f t="shared" si="54"/>
        <v>8.6428571428571423</v>
      </c>
      <c r="DV28" s="22">
        <f t="shared" si="80"/>
        <v>19.46153846153846</v>
      </c>
      <c r="DW28" s="22">
        <f t="shared" si="55"/>
        <v>0.72148914827255051</v>
      </c>
      <c r="DX28" s="22">
        <f t="shared" si="56"/>
        <v>69.696969696969703</v>
      </c>
      <c r="DY28" s="22">
        <f t="shared" si="57"/>
        <v>4.8760330578512399</v>
      </c>
      <c r="DZ28" s="19">
        <f t="shared" si="58"/>
        <v>1.3684535868439219E-2</v>
      </c>
      <c r="EA28" s="23"/>
      <c r="EB28" s="19">
        <f t="shared" si="59"/>
        <v>6.9960474308300394E-2</v>
      </c>
      <c r="EC28" s="19">
        <f t="shared" si="60"/>
        <v>0.13204143050599804</v>
      </c>
      <c r="ED28" s="19"/>
      <c r="EE28" s="19">
        <f t="shared" si="61"/>
        <v>39.597866228970041</v>
      </c>
      <c r="EF28" s="19">
        <f t="shared" si="62"/>
        <v>3.2827246614690191</v>
      </c>
      <c r="EG28" s="19">
        <f t="shared" si="63"/>
        <v>14.977431267952399</v>
      </c>
      <c r="EH28" s="19">
        <f t="shared" si="64"/>
        <v>14.259335248256052</v>
      </c>
      <c r="EI28" s="19">
        <f t="shared" si="65"/>
        <v>0.28723840787853921</v>
      </c>
      <c r="EJ28" s="19">
        <f t="shared" si="66"/>
        <v>4.7189167008617146</v>
      </c>
      <c r="EK28" s="19">
        <f t="shared" si="67"/>
        <v>12.823143208863357</v>
      </c>
      <c r="EL28" s="19">
        <f t="shared" si="68"/>
        <v>5.7447681575707836</v>
      </c>
      <c r="EM28" s="19">
        <f t="shared" si="69"/>
        <v>2.5646286417726714</v>
      </c>
      <c r="EN28" s="19">
        <f t="shared" si="70"/>
        <v>1.7439474764054164</v>
      </c>
      <c r="EO28" s="19">
        <f t="shared" si="71"/>
        <v>99.999999999999986</v>
      </c>
      <c r="EP28" s="19"/>
    </row>
    <row r="29" spans="1:146">
      <c r="A29" s="1" t="s">
        <v>45</v>
      </c>
      <c r="B29" s="36" t="s">
        <v>60</v>
      </c>
      <c r="C29" s="1">
        <v>1</v>
      </c>
      <c r="D29" s="1" t="s">
        <v>43</v>
      </c>
      <c r="E29" s="1" t="s">
        <v>59</v>
      </c>
      <c r="F29" s="2" t="s">
        <v>58</v>
      </c>
      <c r="G29" s="14">
        <v>38.799999999999997</v>
      </c>
      <c r="H29" s="14">
        <v>3.1</v>
      </c>
      <c r="I29" s="14">
        <v>15</v>
      </c>
      <c r="J29" s="14">
        <v>14.2</v>
      </c>
      <c r="K29" s="14">
        <v>0.28999999999999998</v>
      </c>
      <c r="L29" s="14">
        <v>4.2</v>
      </c>
      <c r="M29" s="14">
        <v>12</v>
      </c>
      <c r="N29" s="14">
        <v>5.0999999999999996</v>
      </c>
      <c r="O29" s="14">
        <v>4.5999999999999996</v>
      </c>
      <c r="P29" s="14">
        <v>1.7</v>
      </c>
      <c r="Q29" s="14"/>
      <c r="R29" s="14"/>
      <c r="S29" s="15">
        <f t="shared" si="0"/>
        <v>98.99</v>
      </c>
      <c r="U29" s="86">
        <v>0.70440599999999998</v>
      </c>
      <c r="V29" s="86">
        <v>0.512679</v>
      </c>
      <c r="W29" s="14">
        <v>19.45</v>
      </c>
      <c r="X29" s="14">
        <v>15.64</v>
      </c>
      <c r="Y29" s="14">
        <v>39.4</v>
      </c>
      <c r="Z29" s="14">
        <f t="shared" si="73"/>
        <v>2.025706940874036</v>
      </c>
      <c r="AA29" s="14">
        <f t="shared" si="74"/>
        <v>0.8041131105398458</v>
      </c>
      <c r="AB29" s="14">
        <f t="shared" si="75"/>
        <v>4.0620000000000545</v>
      </c>
      <c r="AC29" s="14">
        <f t="shared" si="76"/>
        <v>25.794999999999391</v>
      </c>
      <c r="AD29" s="14"/>
      <c r="AF29" s="19">
        <f t="shared" si="1"/>
        <v>0.40803979332832957</v>
      </c>
      <c r="AG29" s="20">
        <f t="shared" si="2"/>
        <v>18584.5</v>
      </c>
      <c r="AH29" s="20">
        <f t="shared" si="3"/>
        <v>38189.199999999997</v>
      </c>
      <c r="AI29" s="20">
        <f t="shared" si="77"/>
        <v>7418.8</v>
      </c>
      <c r="AJ29" s="19">
        <f t="shared" si="4"/>
        <v>9.6999999999999993</v>
      </c>
      <c r="AK29" s="19">
        <f t="shared" si="5"/>
        <v>0.90196078431372551</v>
      </c>
      <c r="AL29" s="19">
        <f t="shared" si="6"/>
        <v>1.1086956521739131</v>
      </c>
      <c r="AM29" s="19">
        <f t="shared" si="7"/>
        <v>0.8</v>
      </c>
      <c r="AN29" s="19">
        <f t="shared" si="8"/>
        <v>0.89124513694918361</v>
      </c>
      <c r="AO29" s="118">
        <f t="shared" si="9"/>
        <v>-562.50095926441543</v>
      </c>
      <c r="AP29" s="118">
        <f t="shared" si="10"/>
        <v>1804.7781880104744</v>
      </c>
      <c r="AQ29" s="19">
        <f t="shared" si="11"/>
        <v>0.42630493861872226</v>
      </c>
      <c r="AR29" s="19">
        <f t="shared" si="12"/>
        <v>0.89124513694918361</v>
      </c>
      <c r="AS29" s="118">
        <f t="shared" si="13"/>
        <v>-562.50095926441543</v>
      </c>
      <c r="AT29" s="118">
        <f t="shared" si="14"/>
        <v>1804.7781880104744</v>
      </c>
      <c r="AU29" s="14">
        <f t="shared" si="15"/>
        <v>0.11855670103092783</v>
      </c>
      <c r="AV29" s="14">
        <f t="shared" si="16"/>
        <v>0.33192922859164892</v>
      </c>
      <c r="AX29" s="118">
        <v>125</v>
      </c>
      <c r="AY29" s="118">
        <v>2515</v>
      </c>
      <c r="AZ29" s="118">
        <v>2012</v>
      </c>
      <c r="BB29" s="118"/>
      <c r="BC29" s="118"/>
      <c r="BE29" s="118"/>
      <c r="BF29" s="118"/>
      <c r="BG29" s="118"/>
      <c r="BH29" s="118"/>
      <c r="BI29" s="118">
        <v>43</v>
      </c>
      <c r="BJ29" s="118">
        <v>369</v>
      </c>
      <c r="BK29" s="118">
        <v>277</v>
      </c>
      <c r="BL29" s="117">
        <v>5.2</v>
      </c>
      <c r="BM29" s="117">
        <v>14.2</v>
      </c>
      <c r="BN29" s="117">
        <v>175</v>
      </c>
      <c r="BO29" s="117">
        <v>333</v>
      </c>
      <c r="BP29" s="117">
        <v>37</v>
      </c>
      <c r="BQ29" s="117">
        <v>126</v>
      </c>
      <c r="BR29" s="14">
        <v>19.2</v>
      </c>
      <c r="BS29" s="14">
        <v>5.4</v>
      </c>
      <c r="BT29" s="117">
        <v>13.7</v>
      </c>
      <c r="BU29" s="14">
        <v>1.7</v>
      </c>
      <c r="BV29" s="14">
        <v>8.5</v>
      </c>
      <c r="BW29" s="14">
        <v>1.55</v>
      </c>
      <c r="BX29" s="14">
        <v>3.8</v>
      </c>
      <c r="BY29" s="14">
        <v>0.52</v>
      </c>
      <c r="BZ29" s="14">
        <v>3.2</v>
      </c>
      <c r="CA29" s="14">
        <v>0.43</v>
      </c>
      <c r="CB29" s="117">
        <v>5.2</v>
      </c>
      <c r="CC29" s="117">
        <v>18.899999999999999</v>
      </c>
      <c r="CD29" s="118">
        <v>6.3</v>
      </c>
      <c r="CE29" s="118"/>
      <c r="CF29" s="118"/>
      <c r="CG29" s="22">
        <f t="shared" si="17"/>
        <v>564.51612903225805</v>
      </c>
      <c r="CH29" s="22">
        <f t="shared" si="18"/>
        <v>412.12871287128712</v>
      </c>
      <c r="CI29" s="22">
        <f t="shared" si="19"/>
        <v>303.27868852459017</v>
      </c>
      <c r="CJ29" s="22">
        <f t="shared" si="20"/>
        <v>210</v>
      </c>
      <c r="CK29" s="22">
        <f t="shared" si="72"/>
        <v>98.461538461538453</v>
      </c>
      <c r="CL29" s="22">
        <f t="shared" si="21"/>
        <v>72.972972972972983</v>
      </c>
      <c r="CM29" s="22">
        <f t="shared" si="22"/>
        <v>52.895752895752892</v>
      </c>
      <c r="CN29" s="22">
        <f t="shared" si="23"/>
        <v>35.864978902953588</v>
      </c>
      <c r="CO29" s="22">
        <f t="shared" si="24"/>
        <v>26.397515527950311</v>
      </c>
      <c r="CP29" s="22">
        <f t="shared" si="25"/>
        <v>21.587743732590528</v>
      </c>
      <c r="CQ29" s="22">
        <f t="shared" si="26"/>
        <v>18.095238095238095</v>
      </c>
      <c r="CR29" s="22">
        <f t="shared" si="27"/>
        <v>16.049382716049383</v>
      </c>
      <c r="CS29" s="22">
        <f t="shared" si="28"/>
        <v>15.311004784688997</v>
      </c>
      <c r="CT29" s="22">
        <f t="shared" si="29"/>
        <v>13.4375</v>
      </c>
      <c r="CU29" s="22">
        <f t="shared" si="30"/>
        <v>7.2635379061371843</v>
      </c>
      <c r="CV29" s="117">
        <f t="shared" si="31"/>
        <v>11.497142857142856</v>
      </c>
      <c r="CW29" s="22">
        <f t="shared" si="32"/>
        <v>0.63176895306859204</v>
      </c>
      <c r="CX29" s="20">
        <f t="shared" si="33"/>
        <v>67.092057761732846</v>
      </c>
      <c r="CY29" s="22">
        <f t="shared" si="34"/>
        <v>64.038461538461533</v>
      </c>
      <c r="CZ29" s="22">
        <f t="shared" si="35"/>
        <v>43.968253968253968</v>
      </c>
      <c r="DA29" s="22">
        <f t="shared" si="36"/>
        <v>6.510416666666667</v>
      </c>
      <c r="DB29" s="22">
        <f t="shared" si="37"/>
        <v>1.332129963898917</v>
      </c>
      <c r="DC29" s="22">
        <f t="shared" si="38"/>
        <v>106.45502645502647</v>
      </c>
      <c r="DD29" s="22">
        <f t="shared" si="78"/>
        <v>1.3309859154929577</v>
      </c>
      <c r="DE29" s="22">
        <f t="shared" si="79"/>
        <v>4.4374999999999991</v>
      </c>
      <c r="DF29" s="22">
        <f t="shared" si="39"/>
        <v>5.9062499999999991</v>
      </c>
      <c r="DG29" s="19">
        <f t="shared" si="40"/>
        <v>6.441860465116279</v>
      </c>
      <c r="DH29" s="20">
        <f t="shared" si="41"/>
        <v>218.22399999999999</v>
      </c>
      <c r="DI29" s="19">
        <f t="shared" si="42"/>
        <v>2.2118777784109724</v>
      </c>
      <c r="DJ29" s="22">
        <f t="shared" si="43"/>
        <v>406.97674418604652</v>
      </c>
      <c r="DK29" s="22">
        <f t="shared" si="44"/>
        <v>42.010502625656414</v>
      </c>
      <c r="DL29" s="22">
        <f t="shared" si="45"/>
        <v>5.733366935483871</v>
      </c>
      <c r="DM29" s="22">
        <f t="shared" si="46"/>
        <v>54.6875</v>
      </c>
      <c r="DN29" s="22">
        <f t="shared" si="47"/>
        <v>5.9999999999999991</v>
      </c>
      <c r="DO29" s="22">
        <f t="shared" si="48"/>
        <v>4.1269841269841269E-2</v>
      </c>
      <c r="DP29" s="20">
        <f t="shared" si="49"/>
        <v>785.9375</v>
      </c>
      <c r="DQ29" s="22">
        <f t="shared" si="50"/>
        <v>19.960317460317459</v>
      </c>
      <c r="DR29" s="22">
        <f t="shared" si="51"/>
        <v>34.849317662600143</v>
      </c>
      <c r="DS29" s="19">
        <f t="shared" si="52"/>
        <v>1.0111563880395507</v>
      </c>
      <c r="DT29" s="23">
        <f t="shared" si="53"/>
        <v>3.9761431411530816E-4</v>
      </c>
      <c r="DU29" s="22">
        <f t="shared" si="54"/>
        <v>8.5813953488372086</v>
      </c>
      <c r="DV29" s="22">
        <f t="shared" si="80"/>
        <v>19.507042253521128</v>
      </c>
      <c r="DW29" s="22">
        <f t="shared" si="55"/>
        <v>0.75658012517227258</v>
      </c>
      <c r="DX29" s="22">
        <f t="shared" si="56"/>
        <v>75.06775067750678</v>
      </c>
      <c r="DY29" s="22">
        <f t="shared" si="57"/>
        <v>5.1219512195121943</v>
      </c>
      <c r="DZ29" s="19">
        <f t="shared" si="58"/>
        <v>1.1648464601822341E-2</v>
      </c>
      <c r="EA29" s="23"/>
      <c r="EB29" s="19">
        <f t="shared" si="59"/>
        <v>6.823104693140794E-2</v>
      </c>
      <c r="EC29" s="19">
        <f t="shared" si="60"/>
        <v>0.10214179094753766</v>
      </c>
      <c r="ED29" s="19"/>
      <c r="EE29" s="19">
        <f t="shared" si="61"/>
        <v>39.195878371552681</v>
      </c>
      <c r="EF29" s="19">
        <f t="shared" si="62"/>
        <v>3.1316294575209618</v>
      </c>
      <c r="EG29" s="19">
        <f t="shared" si="63"/>
        <v>15.153045762198202</v>
      </c>
      <c r="EH29" s="19">
        <f t="shared" si="64"/>
        <v>14.344883321547632</v>
      </c>
      <c r="EI29" s="19">
        <f t="shared" si="65"/>
        <v>0.29295888473583187</v>
      </c>
      <c r="EJ29" s="19">
        <f t="shared" si="66"/>
        <v>4.2428528134154968</v>
      </c>
      <c r="EK29" s="19">
        <f t="shared" si="67"/>
        <v>12.122436609758562</v>
      </c>
      <c r="EL29" s="19">
        <f t="shared" si="68"/>
        <v>5.1520355591473885</v>
      </c>
      <c r="EM29" s="19">
        <f t="shared" si="69"/>
        <v>4.6469340337407816</v>
      </c>
      <c r="EN29" s="19">
        <f t="shared" si="70"/>
        <v>1.7173451863824629</v>
      </c>
      <c r="EO29" s="19">
        <f t="shared" si="71"/>
        <v>100</v>
      </c>
      <c r="EP29" s="19"/>
    </row>
    <row r="30" spans="1:146">
      <c r="A30" s="1" t="s">
        <v>45</v>
      </c>
      <c r="B30" s="36" t="s">
        <v>60</v>
      </c>
      <c r="C30" s="1">
        <v>1</v>
      </c>
      <c r="D30" s="1" t="s">
        <v>43</v>
      </c>
      <c r="E30" s="1" t="s">
        <v>59</v>
      </c>
      <c r="F30" s="2" t="s">
        <v>58</v>
      </c>
      <c r="G30" s="14">
        <v>39.799999999999997</v>
      </c>
      <c r="H30" s="14">
        <v>2.7</v>
      </c>
      <c r="I30" s="14">
        <v>14.6</v>
      </c>
      <c r="J30" s="14">
        <v>13.2</v>
      </c>
      <c r="K30" s="14">
        <v>0.28999999999999998</v>
      </c>
      <c r="L30" s="14">
        <v>4.0999999999999996</v>
      </c>
      <c r="M30" s="14">
        <v>12.1</v>
      </c>
      <c r="N30" s="14">
        <v>5.7</v>
      </c>
      <c r="O30" s="14">
        <v>5.3</v>
      </c>
      <c r="P30" s="14">
        <v>1.5</v>
      </c>
      <c r="Q30" s="14"/>
      <c r="R30" s="14"/>
      <c r="S30" s="15">
        <f t="shared" si="0"/>
        <v>99.289999999999992</v>
      </c>
      <c r="U30" s="86">
        <v>0.70436100000000001</v>
      </c>
      <c r="V30" s="86">
        <v>0.512714</v>
      </c>
      <c r="W30" s="14">
        <v>19.52</v>
      </c>
      <c r="X30" s="14">
        <v>15.65</v>
      </c>
      <c r="Y30" s="14">
        <v>39.5</v>
      </c>
      <c r="Z30" s="14">
        <f t="shared" si="73"/>
        <v>2.0235655737704921</v>
      </c>
      <c r="AA30" s="14">
        <f t="shared" si="74"/>
        <v>0.8017418032786886</v>
      </c>
      <c r="AB30" s="14">
        <f t="shared" si="75"/>
        <v>4.3032000000000181</v>
      </c>
      <c r="AC30" s="14">
        <f t="shared" si="76"/>
        <v>27.331999999999823</v>
      </c>
      <c r="AD30" s="14"/>
      <c r="AF30" s="19">
        <f t="shared" si="1"/>
        <v>0.41990896059684518</v>
      </c>
      <c r="AG30" s="20">
        <f t="shared" si="2"/>
        <v>16186.500000000002</v>
      </c>
      <c r="AH30" s="20">
        <f t="shared" si="3"/>
        <v>44000.6</v>
      </c>
      <c r="AI30" s="20">
        <f t="shared" si="77"/>
        <v>6546</v>
      </c>
      <c r="AJ30" s="19">
        <f t="shared" si="4"/>
        <v>11</v>
      </c>
      <c r="AK30" s="19">
        <f t="shared" si="5"/>
        <v>0.92982456140350866</v>
      </c>
      <c r="AL30" s="19">
        <f t="shared" si="6"/>
        <v>1.0754716981132075</v>
      </c>
      <c r="AM30" s="19">
        <f t="shared" si="7"/>
        <v>0.82876712328767121</v>
      </c>
      <c r="AN30" s="19">
        <f t="shared" si="8"/>
        <v>1.0351623062557733</v>
      </c>
      <c r="AO30" s="118">
        <f t="shared" si="9"/>
        <v>-850.19150059619665</v>
      </c>
      <c r="AP30" s="118">
        <f t="shared" si="10"/>
        <v>1797.2000567832886</v>
      </c>
      <c r="AQ30" s="19">
        <f t="shared" si="11"/>
        <v>0.39339754881951144</v>
      </c>
      <c r="AR30" s="19">
        <f t="shared" si="12"/>
        <v>1.0351623062557733</v>
      </c>
      <c r="AS30" s="118">
        <f t="shared" si="13"/>
        <v>-850.19150059619665</v>
      </c>
      <c r="AT30" s="118">
        <f t="shared" si="14"/>
        <v>1797.2000567832886</v>
      </c>
      <c r="AU30" s="14">
        <f t="shared" si="15"/>
        <v>0.13316582914572864</v>
      </c>
      <c r="AV30" s="14">
        <f t="shared" si="16"/>
        <v>0.39291801180816094</v>
      </c>
      <c r="AX30" s="118">
        <v>135</v>
      </c>
      <c r="AY30" s="118">
        <v>2740</v>
      </c>
      <c r="AZ30" s="118">
        <v>2214</v>
      </c>
      <c r="BB30" s="118"/>
      <c r="BC30" s="118"/>
      <c r="BE30" s="118"/>
      <c r="BF30" s="118"/>
      <c r="BG30" s="118"/>
      <c r="BH30" s="118"/>
      <c r="BI30" s="118">
        <v>39</v>
      </c>
      <c r="BJ30" s="118">
        <v>311</v>
      </c>
      <c r="BK30" s="118">
        <v>329</v>
      </c>
      <c r="BL30" s="117">
        <v>4.0999999999999996</v>
      </c>
      <c r="BM30" s="117">
        <v>16.5</v>
      </c>
      <c r="BN30" s="117">
        <v>184</v>
      </c>
      <c r="BO30" s="117">
        <v>336</v>
      </c>
      <c r="BP30" s="117">
        <v>36</v>
      </c>
      <c r="BQ30" s="117">
        <v>119</v>
      </c>
      <c r="BR30" s="14">
        <v>17.7</v>
      </c>
      <c r="BS30" s="14">
        <v>4.9000000000000004</v>
      </c>
      <c r="BT30" s="117">
        <v>12.4</v>
      </c>
      <c r="BU30" s="14">
        <v>1.56</v>
      </c>
      <c r="BV30" s="14">
        <v>7.7</v>
      </c>
      <c r="BW30" s="14">
        <v>1.43</v>
      </c>
      <c r="BX30" s="14">
        <v>3.5</v>
      </c>
      <c r="BY30" s="14">
        <v>0.49</v>
      </c>
      <c r="BZ30" s="14">
        <v>3</v>
      </c>
      <c r="CA30" s="14">
        <v>0.41</v>
      </c>
      <c r="CB30" s="117">
        <v>6</v>
      </c>
      <c r="CC30" s="117">
        <v>23</v>
      </c>
      <c r="CD30" s="118">
        <v>9.3000000000000007</v>
      </c>
      <c r="CE30" s="118"/>
      <c r="CF30" s="118"/>
      <c r="CG30" s="22">
        <f t="shared" si="17"/>
        <v>593.54838709677415</v>
      </c>
      <c r="CH30" s="22">
        <f t="shared" si="18"/>
        <v>415.8415841584158</v>
      </c>
      <c r="CI30" s="22">
        <f t="shared" si="19"/>
        <v>295.08196721311475</v>
      </c>
      <c r="CJ30" s="22">
        <f t="shared" si="20"/>
        <v>198.33333333333334</v>
      </c>
      <c r="CK30" s="22">
        <f t="shared" si="72"/>
        <v>90.769230769230759</v>
      </c>
      <c r="CL30" s="22">
        <f t="shared" si="21"/>
        <v>66.216216216216225</v>
      </c>
      <c r="CM30" s="22">
        <f t="shared" si="22"/>
        <v>47.876447876447877</v>
      </c>
      <c r="CN30" s="22">
        <f t="shared" si="23"/>
        <v>32.911392405063296</v>
      </c>
      <c r="CO30" s="22">
        <f t="shared" si="24"/>
        <v>23.913043478260871</v>
      </c>
      <c r="CP30" s="22">
        <f t="shared" si="25"/>
        <v>19.916434540389972</v>
      </c>
      <c r="CQ30" s="22">
        <f t="shared" si="26"/>
        <v>16.666666666666668</v>
      </c>
      <c r="CR30" s="22">
        <f t="shared" si="27"/>
        <v>15.123456790123457</v>
      </c>
      <c r="CS30" s="22">
        <f t="shared" si="28"/>
        <v>14.354066985645934</v>
      </c>
      <c r="CT30" s="22">
        <f t="shared" si="29"/>
        <v>12.812499999999998</v>
      </c>
      <c r="CU30" s="22">
        <f t="shared" si="30"/>
        <v>6.7294832826747717</v>
      </c>
      <c r="CV30" s="117">
        <f t="shared" si="31"/>
        <v>12.032608695652174</v>
      </c>
      <c r="CW30" s="22">
        <f t="shared" si="32"/>
        <v>0.55927051671732519</v>
      </c>
      <c r="CX30" s="20">
        <f t="shared" si="33"/>
        <v>49.19908814589666</v>
      </c>
      <c r="CY30" s="22">
        <f t="shared" si="34"/>
        <v>56</v>
      </c>
      <c r="CZ30" s="22">
        <f t="shared" si="35"/>
        <v>35.376344086021504</v>
      </c>
      <c r="DA30" s="22">
        <f t="shared" si="36"/>
        <v>7.6271186440677967</v>
      </c>
      <c r="DB30" s="22">
        <f t="shared" si="37"/>
        <v>0.94528875379939215</v>
      </c>
      <c r="DC30" s="22">
        <f t="shared" si="38"/>
        <v>96.260869565217391</v>
      </c>
      <c r="DD30" s="22">
        <f t="shared" si="78"/>
        <v>1.393939393939394</v>
      </c>
      <c r="DE30" s="22">
        <f t="shared" si="79"/>
        <v>5.5</v>
      </c>
      <c r="DF30" s="22">
        <f t="shared" si="39"/>
        <v>7.666666666666667</v>
      </c>
      <c r="DG30" s="19">
        <f t="shared" si="40"/>
        <v>8.4358974358974361</v>
      </c>
      <c r="DH30" s="20">
        <f t="shared" si="41"/>
        <v>239.13369565217391</v>
      </c>
      <c r="DI30" s="19">
        <f t="shared" si="42"/>
        <v>2.0144061370971591</v>
      </c>
      <c r="DJ30" s="22">
        <f t="shared" si="43"/>
        <v>448.78048780487808</v>
      </c>
      <c r="DK30" s="22">
        <f t="shared" si="44"/>
        <v>46.325727773406769</v>
      </c>
      <c r="DL30" s="22">
        <f t="shared" si="45"/>
        <v>6.5390924002186992</v>
      </c>
      <c r="DM30" s="22">
        <f t="shared" si="46"/>
        <v>61.333333333333336</v>
      </c>
      <c r="DN30" s="22">
        <f t="shared" si="47"/>
        <v>5.8999999999999995</v>
      </c>
      <c r="DO30" s="22">
        <f t="shared" si="48"/>
        <v>3.4453781512605038E-2</v>
      </c>
      <c r="DP30" s="20">
        <f t="shared" si="49"/>
        <v>913.33333333333337</v>
      </c>
      <c r="DQ30" s="22">
        <f t="shared" si="50"/>
        <v>23.025210084033613</v>
      </c>
      <c r="DR30" s="22">
        <f t="shared" si="51"/>
        <v>41.56428124150613</v>
      </c>
      <c r="DS30" s="19">
        <f t="shared" si="52"/>
        <v>1.0044632969194125</v>
      </c>
      <c r="DT30" s="23">
        <f t="shared" si="53"/>
        <v>3.6496350364963501E-4</v>
      </c>
      <c r="DU30" s="22">
        <f t="shared" si="54"/>
        <v>7.9743589743589745</v>
      </c>
      <c r="DV30" s="22">
        <f t="shared" si="80"/>
        <v>19.939393939393938</v>
      </c>
      <c r="DW30" s="22">
        <f t="shared" si="55"/>
        <v>0.93487538948282567</v>
      </c>
      <c r="DX30" s="22">
        <f t="shared" si="56"/>
        <v>105.78778135048232</v>
      </c>
      <c r="DY30" s="22">
        <f t="shared" si="57"/>
        <v>7.395498392282958</v>
      </c>
      <c r="DZ30" s="19">
        <f t="shared" si="58"/>
        <v>1.0659624942934249E-2</v>
      </c>
      <c r="EA30" s="23"/>
      <c r="EB30" s="19">
        <f t="shared" si="59"/>
        <v>6.9908814589665649E-2</v>
      </c>
      <c r="EC30" s="19">
        <f t="shared" si="60"/>
        <v>0.11894699230433738</v>
      </c>
      <c r="ED30" s="19"/>
      <c r="EE30" s="19">
        <f t="shared" si="61"/>
        <v>40.08460066471951</v>
      </c>
      <c r="EF30" s="19">
        <f t="shared" si="62"/>
        <v>2.7193070802699166</v>
      </c>
      <c r="EG30" s="19">
        <f t="shared" si="63"/>
        <v>14.704401248866956</v>
      </c>
      <c r="EH30" s="19">
        <f t="shared" si="64"/>
        <v>13.294390170208482</v>
      </c>
      <c r="EI30" s="19">
        <f t="shared" si="65"/>
        <v>0.29207372343639842</v>
      </c>
      <c r="EJ30" s="19">
        <f t="shared" si="66"/>
        <v>4.1293181589283909</v>
      </c>
      <c r="EK30" s="19">
        <f t="shared" si="67"/>
        <v>12.186524322691108</v>
      </c>
      <c r="EL30" s="19">
        <f t="shared" si="68"/>
        <v>5.7407593916809354</v>
      </c>
      <c r="EM30" s="19">
        <f t="shared" si="69"/>
        <v>5.3378990834927995</v>
      </c>
      <c r="EN30" s="19">
        <f t="shared" si="70"/>
        <v>1.5107261557055092</v>
      </c>
      <c r="EO30" s="19">
        <f t="shared" si="71"/>
        <v>100.00000000000001</v>
      </c>
      <c r="EP30" s="19"/>
    </row>
    <row r="31" spans="1:146">
      <c r="A31" s="1" t="s">
        <v>45</v>
      </c>
      <c r="B31" s="36" t="s">
        <v>60</v>
      </c>
      <c r="C31" s="1">
        <v>1</v>
      </c>
      <c r="D31" s="1" t="s">
        <v>43</v>
      </c>
      <c r="E31" s="1" t="s">
        <v>59</v>
      </c>
      <c r="F31" s="2" t="s">
        <v>58</v>
      </c>
      <c r="G31" s="14">
        <v>44</v>
      </c>
      <c r="H31" s="14">
        <v>3.2</v>
      </c>
      <c r="I31" s="14">
        <v>16.3</v>
      </c>
      <c r="J31" s="14">
        <v>12.6</v>
      </c>
      <c r="K31" s="14">
        <v>0.22</v>
      </c>
      <c r="L31" s="14">
        <v>4.3</v>
      </c>
      <c r="M31" s="14">
        <v>9.5</v>
      </c>
      <c r="N31" s="14">
        <v>4.4000000000000004</v>
      </c>
      <c r="O31" s="14">
        <v>4.3</v>
      </c>
      <c r="P31" s="14">
        <v>1.1000000000000001</v>
      </c>
      <c r="Q31" s="14"/>
      <c r="R31" s="14"/>
      <c r="S31" s="15">
        <f t="shared" si="0"/>
        <v>99.919999999999987</v>
      </c>
      <c r="U31" s="86">
        <v>0.70460199999999995</v>
      </c>
      <c r="V31" s="86">
        <v>0.51269900000000002</v>
      </c>
      <c r="W31" s="14">
        <v>19.670000000000002</v>
      </c>
      <c r="X31" s="14">
        <v>15.66</v>
      </c>
      <c r="Y31" s="14">
        <v>39.61</v>
      </c>
      <c r="Z31" s="14">
        <f t="shared" si="73"/>
        <v>2.0137264870360956</v>
      </c>
      <c r="AA31" s="14">
        <f t="shared" si="74"/>
        <v>0.79613624809354344</v>
      </c>
      <c r="AB31" s="14">
        <f t="shared" si="75"/>
        <v>3.6772000000000915</v>
      </c>
      <c r="AC31" s="14">
        <f t="shared" si="76"/>
        <v>20.196999999999576</v>
      </c>
      <c r="AD31" s="14"/>
      <c r="AF31" s="19">
        <f t="shared" si="1"/>
        <v>0.44299911320004343</v>
      </c>
      <c r="AG31" s="20">
        <f t="shared" si="2"/>
        <v>19184</v>
      </c>
      <c r="AH31" s="20">
        <f t="shared" si="3"/>
        <v>35698.6</v>
      </c>
      <c r="AI31" s="20">
        <f t="shared" si="77"/>
        <v>4800.4000000000005</v>
      </c>
      <c r="AJ31" s="19">
        <f t="shared" si="4"/>
        <v>8.6999999999999993</v>
      </c>
      <c r="AK31" s="19">
        <f t="shared" si="5"/>
        <v>0.97727272727272718</v>
      </c>
      <c r="AL31" s="19">
        <f t="shared" si="6"/>
        <v>1.0232558139534884</v>
      </c>
      <c r="AM31" s="19">
        <f t="shared" si="7"/>
        <v>0.58282208588957052</v>
      </c>
      <c r="AN31" s="19">
        <f t="shared" si="8"/>
        <v>0.72959698932151973</v>
      </c>
      <c r="AO31" s="118">
        <f t="shared" si="9"/>
        <v>125.55149942207206</v>
      </c>
      <c r="AP31" s="118">
        <f t="shared" si="10"/>
        <v>1550.7784907525154</v>
      </c>
      <c r="AQ31" s="19">
        <f t="shared" si="11"/>
        <v>0.55889785242313739</v>
      </c>
      <c r="AR31" s="19">
        <f t="shared" si="12"/>
        <v>0.72959698932151973</v>
      </c>
      <c r="AS31" s="118">
        <f t="shared" si="13"/>
        <v>125.55149942207206</v>
      </c>
      <c r="AT31" s="118">
        <f t="shared" si="14"/>
        <v>1550.7784907525154</v>
      </c>
      <c r="AU31" s="14">
        <f t="shared" si="15"/>
        <v>9.7727272727272718E-2</v>
      </c>
      <c r="AV31" s="14">
        <f t="shared" si="16"/>
        <v>0.28553527932997275</v>
      </c>
      <c r="AX31" s="118">
        <v>123</v>
      </c>
      <c r="AY31" s="118">
        <v>1700</v>
      </c>
      <c r="AZ31" s="118">
        <v>1497</v>
      </c>
      <c r="BB31" s="118"/>
      <c r="BC31" s="118"/>
      <c r="BE31" s="118"/>
      <c r="BF31" s="118"/>
      <c r="BG31" s="118"/>
      <c r="BH31" s="118"/>
      <c r="BI31" s="118">
        <v>33</v>
      </c>
      <c r="BJ31" s="118">
        <v>322</v>
      </c>
      <c r="BK31" s="118">
        <v>215</v>
      </c>
      <c r="BL31" s="117">
        <v>5.8</v>
      </c>
      <c r="BM31" s="117">
        <v>10.7</v>
      </c>
      <c r="BN31" s="117">
        <v>131</v>
      </c>
      <c r="BO31" s="117">
        <v>240</v>
      </c>
      <c r="BP31" s="117">
        <v>26</v>
      </c>
      <c r="BQ31" s="117">
        <v>88</v>
      </c>
      <c r="BR31" s="14">
        <v>13.8</v>
      </c>
      <c r="BS31" s="14">
        <v>3.8</v>
      </c>
      <c r="BT31" s="117">
        <v>10</v>
      </c>
      <c r="BU31" s="14">
        <v>1.26</v>
      </c>
      <c r="BV31" s="14">
        <v>6.4</v>
      </c>
      <c r="BW31" s="14">
        <v>1.2</v>
      </c>
      <c r="BX31" s="14">
        <v>3</v>
      </c>
      <c r="BY31" s="14">
        <v>0.42</v>
      </c>
      <c r="BZ31" s="14">
        <v>2.7</v>
      </c>
      <c r="CA31" s="14">
        <v>0.37</v>
      </c>
      <c r="CB31" s="117">
        <v>9.6</v>
      </c>
      <c r="CC31" s="117">
        <v>20</v>
      </c>
      <c r="CD31" s="118">
        <v>6.1</v>
      </c>
      <c r="CE31" s="118"/>
      <c r="CF31" s="118"/>
      <c r="CG31" s="22">
        <f t="shared" si="17"/>
        <v>422.58064516129031</v>
      </c>
      <c r="CH31" s="22">
        <f t="shared" si="18"/>
        <v>297.02970297029702</v>
      </c>
      <c r="CI31" s="22">
        <f t="shared" si="19"/>
        <v>213.11475409836066</v>
      </c>
      <c r="CJ31" s="22">
        <f t="shared" si="20"/>
        <v>146.66666666666669</v>
      </c>
      <c r="CK31" s="22">
        <f t="shared" si="72"/>
        <v>70.769230769230774</v>
      </c>
      <c r="CL31" s="22">
        <f t="shared" si="21"/>
        <v>51.351351351351354</v>
      </c>
      <c r="CM31" s="22">
        <f t="shared" si="22"/>
        <v>38.610038610038607</v>
      </c>
      <c r="CN31" s="22">
        <f t="shared" si="23"/>
        <v>26.582278481012661</v>
      </c>
      <c r="CO31" s="22">
        <f t="shared" si="24"/>
        <v>19.87577639751553</v>
      </c>
      <c r="CP31" s="22">
        <f t="shared" si="25"/>
        <v>16.713091922005571</v>
      </c>
      <c r="CQ31" s="22">
        <f t="shared" si="26"/>
        <v>14.285714285714286</v>
      </c>
      <c r="CR31" s="22">
        <f t="shared" si="27"/>
        <v>12.962962962962964</v>
      </c>
      <c r="CS31" s="22">
        <f t="shared" si="28"/>
        <v>12.918660287081341</v>
      </c>
      <c r="CT31" s="22">
        <f t="shared" si="29"/>
        <v>11.5625</v>
      </c>
      <c r="CU31" s="22">
        <f t="shared" si="30"/>
        <v>6.9627906976744187</v>
      </c>
      <c r="CV31" s="117">
        <f t="shared" si="31"/>
        <v>11.427480916030534</v>
      </c>
      <c r="CW31" s="22">
        <f t="shared" si="32"/>
        <v>0.6093023255813953</v>
      </c>
      <c r="CX31" s="20">
        <f t="shared" si="33"/>
        <v>89.22790697674418</v>
      </c>
      <c r="CY31" s="22">
        <f t="shared" si="34"/>
        <v>25</v>
      </c>
      <c r="CZ31" s="22">
        <f t="shared" si="35"/>
        <v>35.245901639344261</v>
      </c>
      <c r="DA31" s="22">
        <f t="shared" si="36"/>
        <v>8.9130434782608692</v>
      </c>
      <c r="DB31" s="22">
        <f t="shared" si="37"/>
        <v>1.4976744186046511</v>
      </c>
      <c r="DC31" s="22">
        <f t="shared" si="38"/>
        <v>74.849999999999994</v>
      </c>
      <c r="DD31" s="22">
        <f t="shared" si="78"/>
        <v>1.8691588785046731</v>
      </c>
      <c r="DE31" s="22">
        <f t="shared" si="79"/>
        <v>3.9629629629629624</v>
      </c>
      <c r="DF31" s="22">
        <f t="shared" si="39"/>
        <v>7.4074074074074066</v>
      </c>
      <c r="DG31" s="19">
        <f t="shared" si="40"/>
        <v>6.5151515151515156</v>
      </c>
      <c r="DH31" s="20">
        <f t="shared" si="41"/>
        <v>272.50839694656486</v>
      </c>
      <c r="DI31" s="19">
        <f t="shared" si="42"/>
        <v>1.8045539131248471</v>
      </c>
      <c r="DJ31" s="22">
        <f t="shared" si="43"/>
        <v>354.05405405405406</v>
      </c>
      <c r="DK31" s="22">
        <f t="shared" si="44"/>
        <v>36.547515257192678</v>
      </c>
      <c r="DL31" s="22">
        <f t="shared" si="45"/>
        <v>5.9712482468443193</v>
      </c>
      <c r="DM31" s="22">
        <f t="shared" si="46"/>
        <v>48.518518518518512</v>
      </c>
      <c r="DN31" s="22">
        <f t="shared" si="47"/>
        <v>5.1111111111111107</v>
      </c>
      <c r="DO31" s="22">
        <f t="shared" si="48"/>
        <v>6.5909090909090903E-2</v>
      </c>
      <c r="DP31" s="20">
        <f t="shared" si="49"/>
        <v>629.62962962962956</v>
      </c>
      <c r="DQ31" s="22">
        <f t="shared" si="50"/>
        <v>19.318181818181817</v>
      </c>
      <c r="DR31" s="22">
        <f t="shared" si="51"/>
        <v>32.521949109994061</v>
      </c>
      <c r="DS31" s="19">
        <f t="shared" si="52"/>
        <v>0.98238002081063147</v>
      </c>
      <c r="DT31" s="23">
        <f t="shared" si="53"/>
        <v>5.8823529411764701E-4</v>
      </c>
      <c r="DU31" s="22">
        <f t="shared" si="54"/>
        <v>9.7575757575757578</v>
      </c>
      <c r="DV31" s="22">
        <f t="shared" si="80"/>
        <v>20.093457943925234</v>
      </c>
      <c r="DW31" s="22">
        <f t="shared" si="55"/>
        <v>0.65438801094726684</v>
      </c>
      <c r="DX31" s="22">
        <f t="shared" si="56"/>
        <v>66.770186335403722</v>
      </c>
      <c r="DY31" s="22">
        <f t="shared" si="57"/>
        <v>6.2111801242236027</v>
      </c>
      <c r="DZ31" s="19">
        <f t="shared" si="58"/>
        <v>1.2951537700748837E-2</v>
      </c>
      <c r="EA31" s="23"/>
      <c r="EB31" s="19">
        <f t="shared" si="59"/>
        <v>9.3023255813953487E-2</v>
      </c>
      <c r="EC31" s="19">
        <f t="shared" si="60"/>
        <v>0.26497325565201146</v>
      </c>
      <c r="ED31" s="19"/>
      <c r="EE31" s="19">
        <f t="shared" si="61"/>
        <v>44.035228182546042</v>
      </c>
      <c r="EF31" s="19">
        <f t="shared" si="62"/>
        <v>3.2025620496397122</v>
      </c>
      <c r="EG31" s="19">
        <f t="shared" si="63"/>
        <v>16.313050440352285</v>
      </c>
      <c r="EH31" s="19">
        <f t="shared" si="64"/>
        <v>12.610088070456367</v>
      </c>
      <c r="EI31" s="19">
        <f t="shared" si="65"/>
        <v>0.22017614091273022</v>
      </c>
      <c r="EJ31" s="19">
        <f t="shared" si="66"/>
        <v>4.3034427542033633</v>
      </c>
      <c r="EK31" s="19">
        <f t="shared" si="67"/>
        <v>9.5076060848678949</v>
      </c>
      <c r="EL31" s="19">
        <f t="shared" si="68"/>
        <v>4.4035228182546051</v>
      </c>
      <c r="EM31" s="19">
        <f t="shared" si="69"/>
        <v>4.3034427542033633</v>
      </c>
      <c r="EN31" s="19">
        <f t="shared" si="70"/>
        <v>1.1008807045636513</v>
      </c>
      <c r="EO31" s="19">
        <f t="shared" si="71"/>
        <v>100</v>
      </c>
      <c r="EP31" s="19"/>
    </row>
    <row r="32" spans="1:146">
      <c r="A32" s="1" t="s">
        <v>45</v>
      </c>
      <c r="B32" s="36" t="s">
        <v>60</v>
      </c>
      <c r="C32" s="1">
        <v>1</v>
      </c>
      <c r="D32" s="1" t="s">
        <v>43</v>
      </c>
      <c r="E32" s="1" t="s">
        <v>59</v>
      </c>
      <c r="F32" s="2" t="s">
        <v>58</v>
      </c>
      <c r="G32" s="14">
        <v>39.4</v>
      </c>
      <c r="H32" s="14">
        <v>3.1</v>
      </c>
      <c r="I32" s="14">
        <v>15.3</v>
      </c>
      <c r="J32" s="14">
        <v>13.4</v>
      </c>
      <c r="K32" s="14">
        <v>0.27</v>
      </c>
      <c r="L32" s="14">
        <v>4.3</v>
      </c>
      <c r="M32" s="14">
        <v>12.1</v>
      </c>
      <c r="N32" s="14">
        <v>4.8</v>
      </c>
      <c r="O32" s="14">
        <v>4.5999999999999996</v>
      </c>
      <c r="P32" s="14">
        <v>1.7</v>
      </c>
      <c r="Q32" s="14"/>
      <c r="R32" s="14"/>
      <c r="S32" s="15">
        <f t="shared" si="0"/>
        <v>98.969999999999985</v>
      </c>
      <c r="U32" s="86">
        <v>0.70511100000000004</v>
      </c>
      <c r="V32" s="86"/>
      <c r="W32" s="14">
        <v>19.73</v>
      </c>
      <c r="X32" s="14">
        <v>15.74</v>
      </c>
      <c r="Y32" s="14">
        <v>39.880000000000003</v>
      </c>
      <c r="Z32" s="14">
        <f t="shared" si="73"/>
        <v>2.0212873796249369</v>
      </c>
      <c r="AA32" s="14">
        <f t="shared" si="74"/>
        <v>0.79776989356310191</v>
      </c>
      <c r="AB32" s="14">
        <f t="shared" si="75"/>
        <v>11.026799999999959</v>
      </c>
      <c r="AC32" s="14">
        <f t="shared" si="76"/>
        <v>39.943000000000239</v>
      </c>
      <c r="AD32" s="14"/>
      <c r="AF32" s="19">
        <f t="shared" si="1"/>
        <v>0.42786752029605607</v>
      </c>
      <c r="AG32" s="20">
        <f t="shared" si="2"/>
        <v>18584.5</v>
      </c>
      <c r="AH32" s="20">
        <f t="shared" si="3"/>
        <v>38189.199999999997</v>
      </c>
      <c r="AI32" s="20">
        <f t="shared" si="77"/>
        <v>7418.8</v>
      </c>
      <c r="AJ32" s="19">
        <f t="shared" si="4"/>
        <v>9.3999999999999986</v>
      </c>
      <c r="AK32" s="19">
        <f t="shared" si="5"/>
        <v>0.95833333333333326</v>
      </c>
      <c r="AL32" s="19">
        <f t="shared" si="6"/>
        <v>1.0434782608695652</v>
      </c>
      <c r="AM32" s="19">
        <f t="shared" si="7"/>
        <v>0.79084967320261423</v>
      </c>
      <c r="AN32" s="19">
        <f t="shared" si="8"/>
        <v>0.84151392270926095</v>
      </c>
      <c r="AO32" s="118">
        <f t="shared" si="9"/>
        <v>-404.53428924611455</v>
      </c>
      <c r="AP32" s="118">
        <f t="shared" si="10"/>
        <v>1826.9135794136262</v>
      </c>
      <c r="AQ32" s="19">
        <f t="shared" si="11"/>
        <v>0.43871749666697291</v>
      </c>
      <c r="AR32" s="19">
        <f t="shared" si="12"/>
        <v>0.84151392270926095</v>
      </c>
      <c r="AS32" s="118">
        <f t="shared" si="13"/>
        <v>-404.53428924611455</v>
      </c>
      <c r="AT32" s="118">
        <f t="shared" si="14"/>
        <v>1826.9135794136262</v>
      </c>
      <c r="AU32" s="14">
        <f t="shared" si="15"/>
        <v>0.11675126903553298</v>
      </c>
      <c r="AV32" s="14">
        <f t="shared" si="16"/>
        <v>0.32542081234475384</v>
      </c>
      <c r="AX32" s="118">
        <v>121</v>
      </c>
      <c r="AY32" s="118">
        <v>2298</v>
      </c>
      <c r="AZ32" s="118">
        <v>1714</v>
      </c>
      <c r="BB32" s="118"/>
      <c r="BC32" s="118"/>
      <c r="BE32" s="118"/>
      <c r="BF32" s="118"/>
      <c r="BG32" s="118"/>
      <c r="BH32" s="118"/>
      <c r="BI32" s="118">
        <v>39</v>
      </c>
      <c r="BJ32" s="118">
        <v>333</v>
      </c>
      <c r="BK32" s="118">
        <v>269</v>
      </c>
      <c r="BL32" s="117">
        <v>4.9000000000000004</v>
      </c>
      <c r="BM32" s="117">
        <v>14.1</v>
      </c>
      <c r="BN32" s="117">
        <v>169</v>
      </c>
      <c r="BO32" s="117">
        <v>315</v>
      </c>
      <c r="BP32" s="117">
        <v>35</v>
      </c>
      <c r="BQ32" s="117">
        <v>117</v>
      </c>
      <c r="BR32" s="14">
        <v>17.600000000000001</v>
      </c>
      <c r="BS32" s="14">
        <v>4.9000000000000004</v>
      </c>
      <c r="BT32" s="117">
        <v>12.5</v>
      </c>
      <c r="BU32" s="14">
        <v>1.56</v>
      </c>
      <c r="BV32" s="14">
        <v>7.7</v>
      </c>
      <c r="BW32" s="14">
        <v>1.43</v>
      </c>
      <c r="BX32" s="14">
        <v>3.5</v>
      </c>
      <c r="BY32" s="14">
        <v>0.49</v>
      </c>
      <c r="BZ32" s="14">
        <v>3</v>
      </c>
      <c r="CA32" s="14">
        <v>0.4</v>
      </c>
      <c r="CB32" s="117">
        <v>5.6</v>
      </c>
      <c r="CC32" s="117">
        <v>20</v>
      </c>
      <c r="CD32" s="118">
        <v>7</v>
      </c>
      <c r="CE32" s="118"/>
      <c r="CF32" s="118"/>
      <c r="CG32" s="22">
        <f t="shared" si="17"/>
        <v>545.16129032258061</v>
      </c>
      <c r="CH32" s="22">
        <f t="shared" si="18"/>
        <v>389.85148514851483</v>
      </c>
      <c r="CI32" s="22">
        <f t="shared" si="19"/>
        <v>286.88524590163934</v>
      </c>
      <c r="CJ32" s="22">
        <f t="shared" si="20"/>
        <v>195</v>
      </c>
      <c r="CK32" s="22">
        <f t="shared" si="72"/>
        <v>90.256410256410263</v>
      </c>
      <c r="CL32" s="22">
        <f t="shared" si="21"/>
        <v>66.216216216216225</v>
      </c>
      <c r="CM32" s="22">
        <f t="shared" si="22"/>
        <v>48.262548262548258</v>
      </c>
      <c r="CN32" s="22">
        <f t="shared" si="23"/>
        <v>32.911392405063296</v>
      </c>
      <c r="CO32" s="22">
        <f t="shared" si="24"/>
        <v>23.913043478260871</v>
      </c>
      <c r="CP32" s="22">
        <f t="shared" si="25"/>
        <v>19.916434540389972</v>
      </c>
      <c r="CQ32" s="22">
        <f t="shared" si="26"/>
        <v>16.666666666666668</v>
      </c>
      <c r="CR32" s="22">
        <f t="shared" si="27"/>
        <v>15.123456790123457</v>
      </c>
      <c r="CS32" s="22">
        <f t="shared" si="28"/>
        <v>14.354066985645934</v>
      </c>
      <c r="CT32" s="22">
        <f t="shared" si="29"/>
        <v>12.5</v>
      </c>
      <c r="CU32" s="22">
        <f t="shared" si="30"/>
        <v>6.3717472118959106</v>
      </c>
      <c r="CV32" s="117">
        <f t="shared" si="31"/>
        <v>10.142011834319527</v>
      </c>
      <c r="CW32" s="22">
        <f t="shared" si="32"/>
        <v>0.62825278810408924</v>
      </c>
      <c r="CX32" s="20">
        <f t="shared" si="33"/>
        <v>69.087360594795541</v>
      </c>
      <c r="CY32" s="22">
        <f t="shared" si="34"/>
        <v>56.250000000000007</v>
      </c>
      <c r="CZ32" s="22">
        <f t="shared" si="35"/>
        <v>38.428571428571431</v>
      </c>
      <c r="DA32" s="22">
        <f t="shared" si="36"/>
        <v>6.8749999999999991</v>
      </c>
      <c r="DB32" s="22">
        <f t="shared" si="37"/>
        <v>1.237918215613383</v>
      </c>
      <c r="DC32" s="22">
        <f t="shared" si="38"/>
        <v>85.7</v>
      </c>
      <c r="DD32" s="22">
        <f t="shared" si="78"/>
        <v>1.4184397163120568</v>
      </c>
      <c r="DE32" s="22">
        <f t="shared" si="79"/>
        <v>4.7</v>
      </c>
      <c r="DF32" s="22">
        <f t="shared" si="39"/>
        <v>6.666666666666667</v>
      </c>
      <c r="DG32" s="19">
        <f t="shared" si="40"/>
        <v>6.8974358974358978</v>
      </c>
      <c r="DH32" s="20">
        <f t="shared" si="41"/>
        <v>225.97159763313607</v>
      </c>
      <c r="DI32" s="19">
        <f t="shared" si="42"/>
        <v>2.0377687185391151</v>
      </c>
      <c r="DJ32" s="22">
        <f t="shared" si="43"/>
        <v>422.5</v>
      </c>
      <c r="DK32" s="22">
        <f t="shared" si="44"/>
        <v>43.612903225806448</v>
      </c>
      <c r="DL32" s="22">
        <f t="shared" si="45"/>
        <v>6.0401392961876823</v>
      </c>
      <c r="DM32" s="22">
        <f t="shared" si="46"/>
        <v>56.333333333333336</v>
      </c>
      <c r="DN32" s="22">
        <f t="shared" si="47"/>
        <v>5.8666666666666671</v>
      </c>
      <c r="DO32" s="22">
        <f t="shared" si="48"/>
        <v>4.1880341880341884E-2</v>
      </c>
      <c r="DP32" s="20">
        <f t="shared" si="49"/>
        <v>766</v>
      </c>
      <c r="DQ32" s="22">
        <f t="shared" si="50"/>
        <v>19.641025641025642</v>
      </c>
      <c r="DR32" s="22">
        <f t="shared" si="51"/>
        <v>34.818164409086563</v>
      </c>
      <c r="DS32" s="19">
        <f t="shared" si="52"/>
        <v>1.0032755016378765</v>
      </c>
      <c r="DT32" s="23">
        <f t="shared" si="53"/>
        <v>4.351610095735422E-4</v>
      </c>
      <c r="DU32" s="22">
        <f t="shared" si="54"/>
        <v>8.5384615384615383</v>
      </c>
      <c r="DV32" s="22">
        <f t="shared" si="80"/>
        <v>19.078014184397162</v>
      </c>
      <c r="DW32" s="22">
        <f t="shared" si="55"/>
        <v>0.79043879013465324</v>
      </c>
      <c r="DX32" s="22">
        <f t="shared" si="56"/>
        <v>80.780780780780788</v>
      </c>
      <c r="DY32" s="22">
        <f t="shared" si="57"/>
        <v>6.0060060060060056</v>
      </c>
      <c r="DZ32" s="19">
        <f t="shared" si="58"/>
        <v>1.1871624995943863E-2</v>
      </c>
      <c r="EA32" s="23"/>
      <c r="EB32" s="19">
        <f t="shared" si="59"/>
        <v>7.434944237918216E-2</v>
      </c>
      <c r="EC32" s="19">
        <f t="shared" si="60"/>
        <v>0.11628450046335057</v>
      </c>
      <c r="ED32" s="19"/>
      <c r="EE32" s="19">
        <f t="shared" si="61"/>
        <v>39.810043447509351</v>
      </c>
      <c r="EF32" s="19">
        <f t="shared" si="62"/>
        <v>3.1322623017075886</v>
      </c>
      <c r="EG32" s="19">
        <f t="shared" si="63"/>
        <v>15.4592300697181</v>
      </c>
      <c r="EH32" s="19">
        <f t="shared" si="64"/>
        <v>13.539456400929577</v>
      </c>
      <c r="EI32" s="19">
        <f t="shared" si="65"/>
        <v>0.27280994240678996</v>
      </c>
      <c r="EJ32" s="19">
        <f t="shared" si="66"/>
        <v>4.3447509346266555</v>
      </c>
      <c r="EK32" s="19">
        <f t="shared" si="67"/>
        <v>12.225927048600587</v>
      </c>
      <c r="EL32" s="19">
        <f t="shared" si="68"/>
        <v>4.849954531676266</v>
      </c>
      <c r="EM32" s="19">
        <f t="shared" si="69"/>
        <v>4.6478730928564209</v>
      </c>
      <c r="EN32" s="19">
        <f t="shared" si="70"/>
        <v>1.7176922299686777</v>
      </c>
      <c r="EO32" s="19">
        <f t="shared" si="71"/>
        <v>100.00000000000001</v>
      </c>
      <c r="EP32" s="19"/>
    </row>
    <row r="33" spans="1:146">
      <c r="A33" s="1" t="s">
        <v>45</v>
      </c>
      <c r="B33" s="36" t="s">
        <v>60</v>
      </c>
      <c r="C33" s="1">
        <v>1</v>
      </c>
      <c r="D33" s="1" t="s">
        <v>43</v>
      </c>
      <c r="E33" s="1" t="s">
        <v>59</v>
      </c>
      <c r="F33" s="2" t="s">
        <v>58</v>
      </c>
      <c r="G33" s="14">
        <v>39.1</v>
      </c>
      <c r="H33" s="14">
        <v>3</v>
      </c>
      <c r="I33" s="14">
        <v>15.1</v>
      </c>
      <c r="J33" s="14">
        <v>13.3</v>
      </c>
      <c r="K33" s="14">
        <v>0.28999999999999998</v>
      </c>
      <c r="L33" s="14">
        <v>4.0999999999999996</v>
      </c>
      <c r="M33" s="14">
        <v>12</v>
      </c>
      <c r="N33" s="14">
        <v>4.9000000000000004</v>
      </c>
      <c r="O33" s="14">
        <v>4.9000000000000004</v>
      </c>
      <c r="P33" s="14">
        <v>1.6</v>
      </c>
      <c r="Q33" s="14"/>
      <c r="R33" s="14"/>
      <c r="S33" s="15">
        <f t="shared" si="0"/>
        <v>98.29</v>
      </c>
      <c r="U33" s="86">
        <v>0.70454000000000006</v>
      </c>
      <c r="V33" s="86">
        <v>0.51275700000000002</v>
      </c>
      <c r="W33" s="14">
        <v>19.309999999999999</v>
      </c>
      <c r="X33" s="14">
        <v>15.64</v>
      </c>
      <c r="Y33" s="14">
        <v>39.28</v>
      </c>
      <c r="Z33" s="14">
        <f t="shared" si="73"/>
        <v>2.0341791817711035</v>
      </c>
      <c r="AA33" s="14">
        <f t="shared" si="74"/>
        <v>0.8099430346970482</v>
      </c>
      <c r="AB33" s="14">
        <f t="shared" si="75"/>
        <v>5.5796000000000845</v>
      </c>
      <c r="AC33" s="14">
        <f t="shared" si="76"/>
        <v>30.720999999999776</v>
      </c>
      <c r="AD33" s="14"/>
      <c r="AF33" s="19">
        <f t="shared" si="1"/>
        <v>0.41807169058520421</v>
      </c>
      <c r="AG33" s="20">
        <f t="shared" si="2"/>
        <v>17985</v>
      </c>
      <c r="AH33" s="20">
        <f t="shared" si="3"/>
        <v>40679.800000000003</v>
      </c>
      <c r="AI33" s="20">
        <f t="shared" si="77"/>
        <v>6982.4000000000005</v>
      </c>
      <c r="AJ33" s="19">
        <f t="shared" si="4"/>
        <v>9.8000000000000007</v>
      </c>
      <c r="AK33" s="19">
        <f t="shared" si="5"/>
        <v>1</v>
      </c>
      <c r="AL33" s="19">
        <f t="shared" si="6"/>
        <v>1</v>
      </c>
      <c r="AM33" s="19">
        <f t="shared" si="7"/>
        <v>0.79470198675496695</v>
      </c>
      <c r="AN33" s="19">
        <f t="shared" si="8"/>
        <v>0.88505834915076564</v>
      </c>
      <c r="AO33" s="118">
        <f t="shared" si="9"/>
        <v>-531.22746419620978</v>
      </c>
      <c r="AP33" s="118">
        <f t="shared" si="10"/>
        <v>1814.577986270885</v>
      </c>
      <c r="AQ33" s="19">
        <f t="shared" si="11"/>
        <v>0.42919937387839741</v>
      </c>
      <c r="AR33" s="19">
        <f t="shared" si="12"/>
        <v>0.88505834915076564</v>
      </c>
      <c r="AS33" s="118">
        <f t="shared" si="13"/>
        <v>-531.22746419620978</v>
      </c>
      <c r="AT33" s="118">
        <f t="shared" si="14"/>
        <v>1814.577986270885</v>
      </c>
      <c r="AU33" s="14">
        <f t="shared" si="15"/>
        <v>0.12531969309462915</v>
      </c>
      <c r="AV33" s="14">
        <f t="shared" si="16"/>
        <v>0.35123521885237829</v>
      </c>
      <c r="AX33" s="118">
        <v>121</v>
      </c>
      <c r="AY33" s="118">
        <v>2422</v>
      </c>
      <c r="AZ33" s="118">
        <v>1965</v>
      </c>
      <c r="BB33" s="118"/>
      <c r="BC33" s="118"/>
      <c r="BE33" s="118"/>
      <c r="BF33" s="118"/>
      <c r="BG33" s="118"/>
      <c r="BH33" s="118"/>
      <c r="BI33" s="118">
        <v>40</v>
      </c>
      <c r="BJ33" s="118">
        <v>343</v>
      </c>
      <c r="BK33" s="118">
        <v>283</v>
      </c>
      <c r="BL33" s="117">
        <v>5</v>
      </c>
      <c r="BM33" s="117">
        <v>14.7</v>
      </c>
      <c r="BN33" s="117">
        <v>172</v>
      </c>
      <c r="BO33" s="117">
        <v>320</v>
      </c>
      <c r="BP33" s="117">
        <v>36</v>
      </c>
      <c r="BQ33" s="117">
        <v>118</v>
      </c>
      <c r="BR33" s="14">
        <v>17.899999999999999</v>
      </c>
      <c r="BS33" s="14">
        <v>5</v>
      </c>
      <c r="BT33" s="117">
        <v>12.8</v>
      </c>
      <c r="BU33" s="14">
        <v>1.58</v>
      </c>
      <c r="BV33" s="14">
        <v>7.9</v>
      </c>
      <c r="BW33" s="14">
        <v>1.46</v>
      </c>
      <c r="BX33" s="14">
        <v>3.6</v>
      </c>
      <c r="BY33" s="14">
        <v>0.5</v>
      </c>
      <c r="BZ33" s="14">
        <v>3.1</v>
      </c>
      <c r="CA33" s="14">
        <v>0.41</v>
      </c>
      <c r="CB33" s="117">
        <v>4.9000000000000004</v>
      </c>
      <c r="CC33" s="117">
        <v>20</v>
      </c>
      <c r="CD33" s="118">
        <v>6.7</v>
      </c>
      <c r="CE33" s="118"/>
      <c r="CF33" s="118"/>
      <c r="CG33" s="22">
        <f t="shared" si="17"/>
        <v>554.83870967741939</v>
      </c>
      <c r="CH33" s="22">
        <f t="shared" si="18"/>
        <v>396.03960396039599</v>
      </c>
      <c r="CI33" s="22">
        <f t="shared" si="19"/>
        <v>295.08196721311475</v>
      </c>
      <c r="CJ33" s="22">
        <f t="shared" si="20"/>
        <v>196.66666666666669</v>
      </c>
      <c r="CK33" s="22">
        <f t="shared" si="72"/>
        <v>91.794871794871781</v>
      </c>
      <c r="CL33" s="22">
        <f t="shared" si="21"/>
        <v>67.567567567567565</v>
      </c>
      <c r="CM33" s="22">
        <f t="shared" si="22"/>
        <v>49.420849420849422</v>
      </c>
      <c r="CN33" s="22">
        <f t="shared" si="23"/>
        <v>33.333333333333336</v>
      </c>
      <c r="CO33" s="22">
        <f t="shared" si="24"/>
        <v>24.534161490683232</v>
      </c>
      <c r="CP33" s="22">
        <f t="shared" si="25"/>
        <v>20.33426183844011</v>
      </c>
      <c r="CQ33" s="22">
        <f t="shared" si="26"/>
        <v>17.142857142857142</v>
      </c>
      <c r="CR33" s="22">
        <f t="shared" si="27"/>
        <v>15.4320987654321</v>
      </c>
      <c r="CS33" s="22">
        <f t="shared" si="28"/>
        <v>14.832535885167465</v>
      </c>
      <c r="CT33" s="22">
        <f t="shared" si="29"/>
        <v>12.812499999999998</v>
      </c>
      <c r="CU33" s="22">
        <f t="shared" si="30"/>
        <v>6.9434628975265014</v>
      </c>
      <c r="CV33" s="117">
        <f t="shared" si="31"/>
        <v>11.424418604651162</v>
      </c>
      <c r="CW33" s="22">
        <f t="shared" si="32"/>
        <v>0.607773851590106</v>
      </c>
      <c r="CX33" s="20">
        <f t="shared" si="33"/>
        <v>63.551236749116605</v>
      </c>
      <c r="CY33" s="22">
        <f t="shared" si="34"/>
        <v>65.306122448979593</v>
      </c>
      <c r="CZ33" s="22">
        <f t="shared" si="35"/>
        <v>42.238805970149251</v>
      </c>
      <c r="DA33" s="22">
        <f t="shared" si="36"/>
        <v>6.7597765363128497</v>
      </c>
      <c r="DB33" s="22">
        <f t="shared" si="37"/>
        <v>1.2120141342756183</v>
      </c>
      <c r="DC33" s="22">
        <f t="shared" si="38"/>
        <v>98.25</v>
      </c>
      <c r="DD33" s="22">
        <f t="shared" si="78"/>
        <v>1.3605442176870748</v>
      </c>
      <c r="DE33" s="22">
        <f t="shared" si="79"/>
        <v>4.7419354838709671</v>
      </c>
      <c r="DF33" s="22">
        <f t="shared" si="39"/>
        <v>6.4516129032258061</v>
      </c>
      <c r="DG33" s="19">
        <f t="shared" si="40"/>
        <v>7.0750000000000002</v>
      </c>
      <c r="DH33" s="20">
        <f t="shared" si="41"/>
        <v>236.51046511627908</v>
      </c>
      <c r="DI33" s="19">
        <f t="shared" si="42"/>
        <v>2.1231542196309978</v>
      </c>
      <c r="DJ33" s="22">
        <f t="shared" si="43"/>
        <v>419.51219512195127</v>
      </c>
      <c r="DK33" s="22">
        <f t="shared" si="44"/>
        <v>43.304484657749811</v>
      </c>
      <c r="DL33" s="22">
        <f t="shared" si="45"/>
        <v>6.0443323121283123</v>
      </c>
      <c r="DM33" s="22">
        <f t="shared" si="46"/>
        <v>55.483870967741936</v>
      </c>
      <c r="DN33" s="22">
        <f t="shared" si="47"/>
        <v>5.7741935483870961</v>
      </c>
      <c r="DO33" s="22">
        <f t="shared" si="48"/>
        <v>4.2372881355932202E-2</v>
      </c>
      <c r="DP33" s="20">
        <f t="shared" si="49"/>
        <v>781.29032258064512</v>
      </c>
      <c r="DQ33" s="22">
        <f t="shared" si="50"/>
        <v>20.525423728813561</v>
      </c>
      <c r="DR33" s="22">
        <f t="shared" si="51"/>
        <v>35.959183852938231</v>
      </c>
      <c r="DS33" s="19">
        <f t="shared" si="52"/>
        <v>1.0031686972163454</v>
      </c>
      <c r="DT33" s="23">
        <f t="shared" si="53"/>
        <v>4.1288191577208916E-4</v>
      </c>
      <c r="DU33" s="22">
        <f t="shared" si="54"/>
        <v>8.5749999999999993</v>
      </c>
      <c r="DV33" s="22">
        <f t="shared" si="80"/>
        <v>19.251700680272108</v>
      </c>
      <c r="DW33" s="22">
        <f t="shared" si="55"/>
        <v>0.79791691706389645</v>
      </c>
      <c r="DX33" s="22">
        <f t="shared" si="56"/>
        <v>82.507288629737616</v>
      </c>
      <c r="DY33" s="22">
        <f t="shared" si="57"/>
        <v>5.8309037900874632</v>
      </c>
      <c r="DZ33" s="19">
        <f t="shared" si="58"/>
        <v>1.21818858046501E-2</v>
      </c>
      <c r="EA33" s="23"/>
      <c r="EB33" s="19">
        <f t="shared" si="59"/>
        <v>7.0671378091872794E-2</v>
      </c>
      <c r="EC33" s="19">
        <f t="shared" si="60"/>
        <v>9.953892453529084E-2</v>
      </c>
      <c r="ED33" s="19"/>
      <c r="EE33" s="19">
        <f t="shared" si="61"/>
        <v>39.780242140604329</v>
      </c>
      <c r="EF33" s="19">
        <f t="shared" si="62"/>
        <v>3.0521924916064704</v>
      </c>
      <c r="EG33" s="19">
        <f t="shared" si="63"/>
        <v>15.362702207752568</v>
      </c>
      <c r="EH33" s="19">
        <f t="shared" si="64"/>
        <v>13.531386712788686</v>
      </c>
      <c r="EI33" s="19">
        <f t="shared" si="65"/>
        <v>0.29504527418862542</v>
      </c>
      <c r="EJ33" s="19">
        <f t="shared" si="66"/>
        <v>4.1713297385288426</v>
      </c>
      <c r="EK33" s="19">
        <f t="shared" si="67"/>
        <v>12.208769966425882</v>
      </c>
      <c r="EL33" s="19">
        <f t="shared" si="68"/>
        <v>4.9852477362905692</v>
      </c>
      <c r="EM33" s="19">
        <f t="shared" si="69"/>
        <v>4.9852477362905692</v>
      </c>
      <c r="EN33" s="19">
        <f t="shared" si="70"/>
        <v>1.6278359955234509</v>
      </c>
      <c r="EO33" s="19">
        <f t="shared" si="71"/>
        <v>100</v>
      </c>
      <c r="EP33" s="19"/>
    </row>
    <row r="34" spans="1:146">
      <c r="A34" s="1" t="s">
        <v>45</v>
      </c>
      <c r="B34" s="36" t="s">
        <v>57</v>
      </c>
      <c r="C34" s="1">
        <v>1</v>
      </c>
      <c r="D34" s="1" t="s">
        <v>43</v>
      </c>
      <c r="E34" s="1" t="s">
        <v>55</v>
      </c>
      <c r="F34" s="2"/>
      <c r="G34" s="129">
        <v>39.299999999999997</v>
      </c>
      <c r="H34" s="129">
        <v>2.7</v>
      </c>
      <c r="I34" s="129">
        <v>14.6</v>
      </c>
      <c r="J34" s="129">
        <v>13.2</v>
      </c>
      <c r="K34" s="129">
        <v>0.28999999999999998</v>
      </c>
      <c r="L34" s="129">
        <v>4.0999999999999996</v>
      </c>
      <c r="M34" s="129">
        <v>12.2</v>
      </c>
      <c r="N34" s="129">
        <v>5.6</v>
      </c>
      <c r="O34" s="129">
        <v>5.0999999999999996</v>
      </c>
      <c r="P34" s="129">
        <v>1.47</v>
      </c>
      <c r="Q34" s="14"/>
      <c r="R34" s="14"/>
      <c r="S34" s="15">
        <f t="shared" si="0"/>
        <v>98.559999999999988</v>
      </c>
      <c r="U34" s="86"/>
      <c r="V34" s="86"/>
      <c r="W34" s="14"/>
      <c r="X34" s="14"/>
      <c r="Y34" s="14"/>
      <c r="Z34" s="14"/>
      <c r="AA34" s="14"/>
      <c r="AB34" s="14"/>
      <c r="AC34" s="14"/>
      <c r="AD34" s="14"/>
      <c r="AF34" s="19">
        <f t="shared" si="1"/>
        <v>0.41990896059684518</v>
      </c>
      <c r="AG34" s="20">
        <f t="shared" si="2"/>
        <v>16186.500000000002</v>
      </c>
      <c r="AH34" s="20">
        <f t="shared" si="3"/>
        <v>42340.2</v>
      </c>
      <c r="AI34" s="20">
        <f t="shared" si="77"/>
        <v>6415.08</v>
      </c>
      <c r="AJ34" s="19">
        <f t="shared" si="4"/>
        <v>10.7</v>
      </c>
      <c r="AK34" s="19">
        <f t="shared" si="5"/>
        <v>0.9107142857142857</v>
      </c>
      <c r="AL34" s="19">
        <f t="shared" si="6"/>
        <v>1.0980392156862746</v>
      </c>
      <c r="AM34" s="19">
        <f t="shared" si="7"/>
        <v>0.83561643835616428</v>
      </c>
      <c r="AN34" s="19">
        <f t="shared" si="8"/>
        <v>1.0090677677083209</v>
      </c>
      <c r="AO34" s="118">
        <f t="shared" si="9"/>
        <v>-806.85839937927574</v>
      </c>
      <c r="AP34" s="118">
        <f t="shared" si="10"/>
        <v>1821.366617092797</v>
      </c>
      <c r="AQ34" s="19">
        <f t="shared" si="11"/>
        <v>0.39552014902184485</v>
      </c>
      <c r="AR34" s="19">
        <f t="shared" si="12"/>
        <v>1.0090677677083209</v>
      </c>
      <c r="AS34" s="118">
        <f t="shared" si="13"/>
        <v>-806.85839937927574</v>
      </c>
      <c r="AT34" s="118">
        <f t="shared" si="14"/>
        <v>1821.366617092797</v>
      </c>
      <c r="AU34" s="14">
        <f t="shared" si="15"/>
        <v>0.12977099236641221</v>
      </c>
      <c r="AV34" s="14">
        <f t="shared" si="16"/>
        <v>0.37809091702294734</v>
      </c>
      <c r="AX34" s="118"/>
      <c r="AY34" s="118"/>
      <c r="AZ34" s="118"/>
      <c r="BB34" s="118"/>
      <c r="BC34" s="118"/>
      <c r="BE34" s="118"/>
      <c r="BF34" s="118"/>
      <c r="BG34" s="118"/>
      <c r="BH34" s="118"/>
      <c r="BI34" s="118"/>
      <c r="BJ34" s="118"/>
      <c r="BK34" s="118"/>
      <c r="BL34" s="117"/>
      <c r="BM34" s="117"/>
      <c r="BN34" s="117"/>
      <c r="BO34" s="117"/>
      <c r="BP34" s="117"/>
      <c r="BQ34" s="117"/>
      <c r="BR34" s="14"/>
      <c r="BS34" s="14"/>
      <c r="BT34" s="117"/>
      <c r="BU34" s="14"/>
      <c r="BV34" s="14"/>
      <c r="BW34" s="14"/>
      <c r="BX34" s="14"/>
      <c r="BY34" s="14"/>
      <c r="BZ34" s="14"/>
      <c r="CA34" s="14"/>
      <c r="CB34" s="117"/>
      <c r="CC34" s="117"/>
      <c r="CD34" s="118"/>
      <c r="CE34" s="118"/>
      <c r="CF34" s="118"/>
      <c r="CG34" s="22"/>
      <c r="CH34" s="22"/>
      <c r="CI34" s="22"/>
      <c r="CJ34" s="22"/>
      <c r="CK34" s="22"/>
      <c r="CL34" s="22"/>
      <c r="CM34" s="22"/>
      <c r="CN34" s="22"/>
      <c r="CO34" s="22"/>
      <c r="CP34" s="22"/>
      <c r="CQ34" s="22"/>
      <c r="CR34" s="22"/>
      <c r="CS34" s="22"/>
      <c r="CT34" s="22"/>
      <c r="CU34" s="22"/>
      <c r="CV34" s="117"/>
      <c r="CW34" s="22"/>
      <c r="CX34" s="20"/>
      <c r="CY34" s="22"/>
      <c r="CZ34" s="22"/>
      <c r="DA34" s="22"/>
      <c r="DB34" s="22"/>
      <c r="DC34" s="22"/>
      <c r="DD34" s="22"/>
      <c r="DE34" s="22"/>
      <c r="DF34" s="22"/>
      <c r="DG34" s="19"/>
      <c r="DH34" s="20"/>
      <c r="DI34" s="19"/>
      <c r="DJ34" s="22"/>
      <c r="DK34" s="22"/>
      <c r="DL34" s="22"/>
      <c r="DM34" s="22"/>
      <c r="DN34" s="22"/>
      <c r="DO34" s="22"/>
      <c r="DP34" s="20"/>
      <c r="DQ34" s="22"/>
      <c r="DR34" s="22"/>
      <c r="DS34" s="19"/>
      <c r="DT34" s="23"/>
      <c r="DU34" s="22"/>
      <c r="DV34" s="22"/>
      <c r="DW34" s="22"/>
      <c r="DX34" s="22"/>
      <c r="DY34" s="22"/>
      <c r="DZ34" s="19"/>
      <c r="EA34" s="23"/>
      <c r="EB34" s="19"/>
      <c r="EC34" s="19"/>
      <c r="ED34" s="19"/>
      <c r="EE34" s="19">
        <f t="shared" si="61"/>
        <v>39.874188311688314</v>
      </c>
      <c r="EF34" s="19">
        <f t="shared" si="62"/>
        <v>2.7394480519480524</v>
      </c>
      <c r="EG34" s="19">
        <f t="shared" si="63"/>
        <v>14.813311688311691</v>
      </c>
      <c r="EH34" s="19">
        <f t="shared" si="64"/>
        <v>13.392857142857144</v>
      </c>
      <c r="EI34" s="19">
        <f t="shared" si="65"/>
        <v>0.29423701298701299</v>
      </c>
      <c r="EJ34" s="19">
        <f t="shared" si="66"/>
        <v>4.1599025974025974</v>
      </c>
      <c r="EK34" s="19">
        <f t="shared" si="67"/>
        <v>12.378246753246755</v>
      </c>
      <c r="EL34" s="19">
        <f t="shared" si="68"/>
        <v>5.6818181818181825</v>
      </c>
      <c r="EM34" s="19">
        <f t="shared" si="69"/>
        <v>5.1745129870129869</v>
      </c>
      <c r="EN34" s="19">
        <f t="shared" si="70"/>
        <v>1.4914772727272729</v>
      </c>
      <c r="EO34" s="19">
        <f t="shared" si="71"/>
        <v>100</v>
      </c>
    </row>
    <row r="35" spans="1:146">
      <c r="A35" s="1" t="s">
        <v>45</v>
      </c>
      <c r="B35" s="36" t="s">
        <v>57</v>
      </c>
      <c r="C35" s="1">
        <v>1</v>
      </c>
      <c r="D35" s="1" t="s">
        <v>43</v>
      </c>
      <c r="E35" s="1" t="s">
        <v>55</v>
      </c>
      <c r="F35" s="2"/>
      <c r="G35" s="129">
        <v>38.700000000000003</v>
      </c>
      <c r="H35" s="129">
        <v>2.7</v>
      </c>
      <c r="I35" s="129">
        <v>14.4</v>
      </c>
      <c r="J35" s="129">
        <v>13.2</v>
      </c>
      <c r="K35" s="129">
        <v>0.28999999999999998</v>
      </c>
      <c r="L35" s="129">
        <v>4.0999999999999996</v>
      </c>
      <c r="M35" s="129">
        <v>12.2</v>
      </c>
      <c r="N35" s="129">
        <v>5.8</v>
      </c>
      <c r="O35" s="129">
        <v>5.4</v>
      </c>
      <c r="P35" s="129">
        <v>1.47</v>
      </c>
      <c r="Q35" s="14"/>
      <c r="R35" s="14"/>
      <c r="S35" s="15">
        <f t="shared" si="0"/>
        <v>98.26</v>
      </c>
      <c r="U35" s="86"/>
      <c r="V35" s="86"/>
      <c r="W35" s="14"/>
      <c r="X35" s="14"/>
      <c r="Y35" s="14"/>
      <c r="Z35" s="14"/>
      <c r="AA35" s="14"/>
      <c r="AB35" s="14"/>
      <c r="AC35" s="14"/>
      <c r="AD35" s="14"/>
      <c r="AF35" s="19">
        <f t="shared" si="1"/>
        <v>0.41990896059684518</v>
      </c>
      <c r="AG35" s="20">
        <f t="shared" si="2"/>
        <v>16186.500000000002</v>
      </c>
      <c r="AH35" s="20">
        <f t="shared" si="3"/>
        <v>44830.8</v>
      </c>
      <c r="AI35" s="20">
        <f t="shared" si="77"/>
        <v>6415.08</v>
      </c>
      <c r="AJ35" s="19">
        <f t="shared" si="4"/>
        <v>11.2</v>
      </c>
      <c r="AK35" s="19">
        <f t="shared" si="5"/>
        <v>0.93103448275862077</v>
      </c>
      <c r="AL35" s="19">
        <f t="shared" si="6"/>
        <v>1.074074074074074</v>
      </c>
      <c r="AM35" s="19">
        <f t="shared" si="7"/>
        <v>0.84722222222222232</v>
      </c>
      <c r="AN35" s="19">
        <f t="shared" si="8"/>
        <v>1.0684800098746552</v>
      </c>
      <c r="AO35" s="118">
        <f t="shared" si="9"/>
        <v>-993.52810148732431</v>
      </c>
      <c r="AP35" s="118">
        <f t="shared" si="10"/>
        <v>1822.9348979298154</v>
      </c>
      <c r="AQ35" s="19">
        <f t="shared" si="11"/>
        <v>0.38331372281444087</v>
      </c>
      <c r="AR35" s="19">
        <f t="shared" si="12"/>
        <v>1.0684800098746552</v>
      </c>
      <c r="AS35" s="118">
        <f t="shared" si="13"/>
        <v>-993.52810148732431</v>
      </c>
      <c r="AT35" s="118">
        <f t="shared" si="14"/>
        <v>1822.9348979298154</v>
      </c>
      <c r="AU35" s="14">
        <f t="shared" si="15"/>
        <v>0.13953488372093023</v>
      </c>
      <c r="AV35" s="14">
        <f t="shared" si="16"/>
        <v>0.40589171974522292</v>
      </c>
      <c r="AX35" s="118"/>
      <c r="AY35" s="118"/>
      <c r="AZ35" s="118"/>
      <c r="BB35" s="118"/>
      <c r="BC35" s="118"/>
      <c r="BE35" s="118"/>
      <c r="BF35" s="118"/>
      <c r="BG35" s="118"/>
      <c r="BH35" s="118"/>
      <c r="BI35" s="118"/>
      <c r="BJ35" s="118"/>
      <c r="BK35" s="118"/>
      <c r="BL35" s="117"/>
      <c r="BM35" s="117"/>
      <c r="BN35" s="117"/>
      <c r="BO35" s="117"/>
      <c r="BP35" s="117"/>
      <c r="BQ35" s="117"/>
      <c r="BR35" s="14"/>
      <c r="BS35" s="14"/>
      <c r="BT35" s="117"/>
      <c r="BU35" s="14"/>
      <c r="BV35" s="14"/>
      <c r="BW35" s="14"/>
      <c r="BX35" s="14"/>
      <c r="BY35" s="14"/>
      <c r="BZ35" s="14"/>
      <c r="CA35" s="14"/>
      <c r="CB35" s="117"/>
      <c r="CC35" s="117"/>
      <c r="CD35" s="118"/>
      <c r="CE35" s="118"/>
      <c r="CF35" s="118"/>
      <c r="CG35" s="22"/>
      <c r="CH35" s="22"/>
      <c r="CI35" s="22"/>
      <c r="CJ35" s="22"/>
      <c r="CK35" s="22"/>
      <c r="CL35" s="22"/>
      <c r="CM35" s="22"/>
      <c r="CN35" s="22"/>
      <c r="CO35" s="22"/>
      <c r="CP35" s="22"/>
      <c r="CQ35" s="22"/>
      <c r="CR35" s="22"/>
      <c r="CS35" s="22"/>
      <c r="CT35" s="22"/>
      <c r="CU35" s="22"/>
      <c r="CV35" s="117"/>
      <c r="CW35" s="22"/>
      <c r="CX35" s="20"/>
      <c r="CY35" s="22"/>
      <c r="CZ35" s="22"/>
      <c r="DA35" s="22"/>
      <c r="DB35" s="22"/>
      <c r="DC35" s="22"/>
      <c r="DD35" s="22"/>
      <c r="DE35" s="22"/>
      <c r="DF35" s="22"/>
      <c r="DG35" s="19"/>
      <c r="DH35" s="20"/>
      <c r="DI35" s="19"/>
      <c r="DJ35" s="22"/>
      <c r="DK35" s="22"/>
      <c r="DL35" s="22"/>
      <c r="DM35" s="22"/>
      <c r="DN35" s="22"/>
      <c r="DO35" s="22"/>
      <c r="DP35" s="20"/>
      <c r="DQ35" s="22"/>
      <c r="DR35" s="22"/>
      <c r="DS35" s="19"/>
      <c r="DT35" s="23"/>
      <c r="DU35" s="22"/>
      <c r="DV35" s="22"/>
      <c r="DW35" s="22"/>
      <c r="DX35" s="22"/>
      <c r="DY35" s="22"/>
      <c r="DZ35" s="19"/>
      <c r="EA35" s="23"/>
      <c r="EB35" s="19"/>
      <c r="EC35" s="19"/>
      <c r="ED35" s="19"/>
      <c r="EE35" s="19">
        <f t="shared" si="61"/>
        <v>39.385304294728272</v>
      </c>
      <c r="EF35" s="19">
        <f t="shared" si="62"/>
        <v>2.7478119275391815</v>
      </c>
      <c r="EG35" s="19">
        <f t="shared" si="63"/>
        <v>14.654996946875634</v>
      </c>
      <c r="EH35" s="19">
        <f t="shared" si="64"/>
        <v>13.433747201302666</v>
      </c>
      <c r="EI35" s="19">
        <f t="shared" si="65"/>
        <v>0.29513535518013428</v>
      </c>
      <c r="EJ35" s="19">
        <f t="shared" si="66"/>
        <v>4.1726032973743123</v>
      </c>
      <c r="EK35" s="19">
        <f t="shared" si="67"/>
        <v>12.416039079991858</v>
      </c>
      <c r="EL35" s="19">
        <f t="shared" si="68"/>
        <v>5.9027071036026868</v>
      </c>
      <c r="EM35" s="19">
        <f t="shared" si="69"/>
        <v>5.4956238550783629</v>
      </c>
      <c r="EN35" s="19">
        <f t="shared" si="70"/>
        <v>1.4960309383268877</v>
      </c>
      <c r="EO35" s="19">
        <f t="shared" si="71"/>
        <v>100</v>
      </c>
    </row>
    <row r="36" spans="1:146">
      <c r="A36" s="1" t="s">
        <v>45</v>
      </c>
      <c r="B36" s="36" t="s">
        <v>56</v>
      </c>
      <c r="C36" s="1">
        <v>1</v>
      </c>
      <c r="D36" s="1" t="s">
        <v>43</v>
      </c>
      <c r="E36" s="1" t="s">
        <v>55</v>
      </c>
      <c r="F36" s="2">
        <v>2002</v>
      </c>
      <c r="G36" s="14">
        <v>39.299999999999997</v>
      </c>
      <c r="H36" s="14">
        <v>2.7</v>
      </c>
      <c r="I36" s="14">
        <v>14.6</v>
      </c>
      <c r="J36" s="14">
        <v>13.2</v>
      </c>
      <c r="K36" s="14">
        <v>0.28999999999999998</v>
      </c>
      <c r="L36" s="14">
        <v>4.0999999999999996</v>
      </c>
      <c r="M36" s="14">
        <v>12.2</v>
      </c>
      <c r="N36" s="14">
        <v>5.6</v>
      </c>
      <c r="O36" s="14">
        <v>5.0999999999999996</v>
      </c>
      <c r="P36" s="14">
        <v>1.5</v>
      </c>
      <c r="Q36" s="14"/>
      <c r="R36" s="14"/>
      <c r="S36" s="15">
        <f t="shared" si="0"/>
        <v>98.589999999999989</v>
      </c>
      <c r="U36" s="86"/>
      <c r="V36" s="86"/>
      <c r="W36" s="14"/>
      <c r="X36" s="14"/>
      <c r="Y36" s="14"/>
      <c r="Z36" s="14"/>
      <c r="AA36" s="14"/>
      <c r="AB36" s="14"/>
      <c r="AC36" s="14"/>
      <c r="AD36" s="14"/>
      <c r="AF36" s="19">
        <f t="shared" si="1"/>
        <v>0.41990896059684518</v>
      </c>
      <c r="AG36" s="20">
        <f t="shared" si="2"/>
        <v>16186.500000000002</v>
      </c>
      <c r="AH36" s="20">
        <f t="shared" si="3"/>
        <v>42340.2</v>
      </c>
      <c r="AI36" s="20">
        <f t="shared" si="77"/>
        <v>6546</v>
      </c>
      <c r="AJ36" s="19">
        <f t="shared" si="4"/>
        <v>10.7</v>
      </c>
      <c r="AK36" s="19">
        <f t="shared" si="5"/>
        <v>0.9107142857142857</v>
      </c>
      <c r="AL36" s="19">
        <f t="shared" si="6"/>
        <v>1.0980392156862746</v>
      </c>
      <c r="AM36" s="19">
        <f t="shared" si="7"/>
        <v>0.83561643835616439</v>
      </c>
      <c r="AN36" s="19">
        <f t="shared" si="8"/>
        <v>1.0090677677083209</v>
      </c>
      <c r="AO36" s="118">
        <f t="shared" si="9"/>
        <v>-806.61288003673155</v>
      </c>
      <c r="AP36" s="118">
        <f t="shared" si="10"/>
        <v>1820.8123925414957</v>
      </c>
      <c r="AQ36" s="19">
        <f t="shared" si="11"/>
        <v>0.39552014902184485</v>
      </c>
      <c r="AR36" s="19">
        <f t="shared" si="12"/>
        <v>1.0090677677083209</v>
      </c>
      <c r="AS36" s="118">
        <f t="shared" si="13"/>
        <v>-806.61288003673155</v>
      </c>
      <c r="AT36" s="118">
        <f t="shared" si="14"/>
        <v>1820.8123925414957</v>
      </c>
      <c r="AU36" s="14">
        <f t="shared" si="15"/>
        <v>0.12977099236641221</v>
      </c>
      <c r="AV36" s="14">
        <f t="shared" si="16"/>
        <v>0.37809091702294734</v>
      </c>
      <c r="AW36" s="19"/>
      <c r="AX36" s="118">
        <v>141</v>
      </c>
      <c r="AY36" s="118">
        <v>2832</v>
      </c>
      <c r="AZ36" s="118">
        <v>2126</v>
      </c>
      <c r="BA36" s="22"/>
      <c r="BB36" s="118">
        <v>5.0999999999999996</v>
      </c>
      <c r="BC36" s="118">
        <v>275</v>
      </c>
      <c r="BD36" s="118">
        <v>6.6</v>
      </c>
      <c r="BE36" s="118">
        <v>34</v>
      </c>
      <c r="BF36" s="118"/>
      <c r="BG36" s="20"/>
      <c r="BH36" s="20"/>
      <c r="BI36" s="118">
        <v>42</v>
      </c>
      <c r="BJ36" s="118">
        <v>319</v>
      </c>
      <c r="BK36" s="118">
        <v>264</v>
      </c>
      <c r="BL36" s="117"/>
      <c r="BM36" s="117"/>
      <c r="BN36" s="117">
        <v>191</v>
      </c>
      <c r="BO36" s="117">
        <v>340</v>
      </c>
      <c r="BP36" s="22"/>
      <c r="BQ36" s="117">
        <v>122</v>
      </c>
      <c r="BR36" s="14"/>
      <c r="BS36" s="14"/>
      <c r="BT36" s="22"/>
      <c r="BU36" s="14"/>
      <c r="BV36" s="19"/>
      <c r="BW36" s="19"/>
      <c r="BX36" s="19"/>
      <c r="BY36" s="19"/>
      <c r="BZ36" s="14"/>
      <c r="CA36" s="14"/>
      <c r="CB36" s="22"/>
      <c r="CC36" s="117"/>
      <c r="CD36" s="20"/>
      <c r="CE36" s="20"/>
      <c r="CF36" s="20"/>
      <c r="CG36" s="22">
        <f>BN36/0.31</f>
        <v>616.12903225806451</v>
      </c>
      <c r="CH36" s="22">
        <f>BO36/0.808</f>
        <v>420.79207920792078</v>
      </c>
      <c r="CI36" s="22"/>
      <c r="CJ36" s="22">
        <f>BQ36/0.6</f>
        <v>203.33333333333334</v>
      </c>
      <c r="CK36" s="22"/>
      <c r="CL36" s="22"/>
      <c r="CM36" s="22"/>
      <c r="CN36" s="22"/>
      <c r="CO36" s="22"/>
      <c r="CP36" s="22"/>
      <c r="CQ36" s="22"/>
      <c r="CR36" s="22"/>
      <c r="CS36" s="22"/>
      <c r="CT36" s="22"/>
      <c r="CU36" s="22">
        <f>AZ36/BK36</f>
        <v>8.0530303030303028</v>
      </c>
      <c r="CV36" s="117">
        <f>AZ36/BN36</f>
        <v>11.130890052356021</v>
      </c>
      <c r="CW36" s="22">
        <f>BN36/BK36</f>
        <v>0.72348484848484851</v>
      </c>
      <c r="CX36" s="20">
        <f>AG36/BK36</f>
        <v>61.312500000000007</v>
      </c>
      <c r="CY36" s="22"/>
      <c r="CZ36" s="22"/>
      <c r="DA36" s="22"/>
      <c r="DB36" s="22">
        <f>BJ36/BK36</f>
        <v>1.2083333333333333</v>
      </c>
      <c r="DC36" s="22"/>
      <c r="DD36" s="22"/>
      <c r="DE36" s="22"/>
      <c r="DF36" s="22"/>
      <c r="DG36" s="19">
        <f>BK36/BI36</f>
        <v>6.2857142857142856</v>
      </c>
      <c r="DH36" s="20">
        <f>AH36/BN36</f>
        <v>221.6764397905759</v>
      </c>
      <c r="DI36" s="19"/>
      <c r="DJ36" s="22"/>
      <c r="DK36" s="22"/>
      <c r="DL36" s="22"/>
      <c r="DM36" s="22"/>
      <c r="DN36" s="22"/>
      <c r="DO36" s="22"/>
      <c r="DP36" s="20"/>
      <c r="DQ36" s="22">
        <f>AY36/BQ36</f>
        <v>23.21311475409836</v>
      </c>
      <c r="DR36" s="22"/>
      <c r="DS36" s="19"/>
      <c r="DT36" s="23">
        <f>1/AY36</f>
        <v>3.5310734463276836E-4</v>
      </c>
      <c r="DU36" s="22">
        <f>BJ36/BI36</f>
        <v>7.5952380952380949</v>
      </c>
      <c r="DV36" s="22"/>
      <c r="DW36" s="22">
        <f>1.74+LOG(BK36/BI36)-1.92*LOG(BJ36/BI36)</f>
        <v>0.8477151625661119</v>
      </c>
      <c r="DX36" s="22">
        <f>BK36*100/BJ36</f>
        <v>82.758620689655174</v>
      </c>
      <c r="DY36" s="22"/>
      <c r="DZ36" s="19">
        <f>EI36*100/AY36</f>
        <v>1.0386563540268061E-2</v>
      </c>
      <c r="EA36" s="23"/>
      <c r="EB36" s="19"/>
      <c r="EC36" s="19"/>
      <c r="ED36" s="19"/>
      <c r="EE36" s="19">
        <f t="shared" si="61"/>
        <v>39.862054975149611</v>
      </c>
      <c r="EF36" s="19">
        <f t="shared" si="62"/>
        <v>2.7386144639415764</v>
      </c>
      <c r="EG36" s="19">
        <f t="shared" si="63"/>
        <v>14.808804138350746</v>
      </c>
      <c r="EH36" s="19">
        <f t="shared" si="64"/>
        <v>13.388781823714375</v>
      </c>
      <c r="EI36" s="19">
        <f t="shared" si="65"/>
        <v>0.29414747946039149</v>
      </c>
      <c r="EJ36" s="19">
        <f t="shared" si="66"/>
        <v>4.1586367785779492</v>
      </c>
      <c r="EK36" s="19">
        <f t="shared" si="67"/>
        <v>12.374480170402679</v>
      </c>
      <c r="EL36" s="19">
        <f t="shared" si="68"/>
        <v>5.6800892585454923</v>
      </c>
      <c r="EM36" s="19">
        <f t="shared" si="69"/>
        <v>5.1729384318896443</v>
      </c>
      <c r="EN36" s="19">
        <f t="shared" si="70"/>
        <v>1.5214524799675424</v>
      </c>
      <c r="EO36" s="19">
        <f t="shared" si="71"/>
        <v>99.999999999999986</v>
      </c>
    </row>
    <row r="37" spans="1:146">
      <c r="A37" s="1" t="s">
        <v>45</v>
      </c>
      <c r="B37" s="36" t="s">
        <v>56</v>
      </c>
      <c r="C37" s="1">
        <v>1</v>
      </c>
      <c r="D37" s="1" t="s">
        <v>43</v>
      </c>
      <c r="E37" s="1" t="s">
        <v>55</v>
      </c>
      <c r="F37" s="2">
        <v>2002</v>
      </c>
      <c r="G37" s="14">
        <v>38.700000000000003</v>
      </c>
      <c r="H37" s="14">
        <v>2.7</v>
      </c>
      <c r="I37" s="14">
        <v>14.4</v>
      </c>
      <c r="J37" s="14">
        <v>13.2</v>
      </c>
      <c r="K37" s="14">
        <v>0.28999999999999998</v>
      </c>
      <c r="L37" s="14">
        <v>4.0999999999999996</v>
      </c>
      <c r="M37" s="14">
        <v>12.2</v>
      </c>
      <c r="N37" s="14">
        <v>5.8</v>
      </c>
      <c r="O37" s="14">
        <v>5.4</v>
      </c>
      <c r="P37" s="14">
        <v>1.5</v>
      </c>
      <c r="Q37" s="130"/>
      <c r="R37" s="14"/>
      <c r="S37" s="15">
        <f t="shared" si="0"/>
        <v>98.29</v>
      </c>
      <c r="U37" s="86"/>
      <c r="V37" s="86"/>
      <c r="W37" s="14"/>
      <c r="X37" s="14"/>
      <c r="Y37" s="14"/>
      <c r="Z37" s="14"/>
      <c r="AA37" s="14"/>
      <c r="AB37" s="14"/>
      <c r="AC37" s="14"/>
      <c r="AD37" s="14"/>
      <c r="AF37" s="19">
        <f t="shared" si="1"/>
        <v>0.41990896059684518</v>
      </c>
      <c r="AG37" s="20">
        <f t="shared" si="2"/>
        <v>16186.500000000002</v>
      </c>
      <c r="AH37" s="20">
        <f t="shared" si="3"/>
        <v>44830.8</v>
      </c>
      <c r="AI37" s="20">
        <f t="shared" si="77"/>
        <v>6546</v>
      </c>
      <c r="AJ37" s="19">
        <f t="shared" si="4"/>
        <v>11.2</v>
      </c>
      <c r="AK37" s="19">
        <f t="shared" si="5"/>
        <v>0.93103448275862077</v>
      </c>
      <c r="AL37" s="19">
        <f t="shared" si="6"/>
        <v>1.074074074074074</v>
      </c>
      <c r="AM37" s="19">
        <f t="shared" si="7"/>
        <v>0.84722222222222221</v>
      </c>
      <c r="AN37" s="19">
        <f t="shared" si="8"/>
        <v>1.0684800098746554</v>
      </c>
      <c r="AO37" s="118">
        <f t="shared" si="9"/>
        <v>-993.22485758616881</v>
      </c>
      <c r="AP37" s="118">
        <f t="shared" si="10"/>
        <v>1822.3785031090003</v>
      </c>
      <c r="AQ37" s="19">
        <f t="shared" si="11"/>
        <v>0.38331372281444082</v>
      </c>
      <c r="AR37" s="19">
        <f t="shared" si="12"/>
        <v>1.0684800098746554</v>
      </c>
      <c r="AS37" s="118">
        <f t="shared" si="13"/>
        <v>-993.22485758616881</v>
      </c>
      <c r="AT37" s="118">
        <f t="shared" si="14"/>
        <v>1822.3785031090003</v>
      </c>
      <c r="AU37" s="14">
        <f t="shared" si="15"/>
        <v>0.13953488372093023</v>
      </c>
      <c r="AV37" s="14">
        <f t="shared" si="16"/>
        <v>0.40589171974522292</v>
      </c>
      <c r="AW37" s="19"/>
      <c r="AX37" s="118">
        <v>143</v>
      </c>
      <c r="AY37" s="118">
        <v>2875</v>
      </c>
      <c r="AZ37" s="118">
        <v>2127</v>
      </c>
      <c r="BA37" s="22"/>
      <c r="BB37" s="118">
        <v>5.8</v>
      </c>
      <c r="BC37" s="118">
        <v>279</v>
      </c>
      <c r="BD37" s="118">
        <v>3.4</v>
      </c>
      <c r="BE37" s="118">
        <v>36</v>
      </c>
      <c r="BF37" s="118"/>
      <c r="BG37" s="20"/>
      <c r="BH37" s="20"/>
      <c r="BI37" s="118">
        <v>42</v>
      </c>
      <c r="BJ37" s="118">
        <v>319</v>
      </c>
      <c r="BK37" s="118">
        <v>268</v>
      </c>
      <c r="BL37" s="117"/>
      <c r="BM37" s="117"/>
      <c r="BN37" s="117">
        <v>192</v>
      </c>
      <c r="BO37" s="117">
        <v>336</v>
      </c>
      <c r="BP37" s="22"/>
      <c r="BQ37" s="117">
        <v>122</v>
      </c>
      <c r="BR37" s="14"/>
      <c r="BS37" s="14"/>
      <c r="BT37" s="22"/>
      <c r="BU37" s="14"/>
      <c r="BV37" s="19"/>
      <c r="BW37" s="19"/>
      <c r="BX37" s="19"/>
      <c r="BY37" s="19"/>
      <c r="BZ37" s="14"/>
      <c r="CA37" s="14"/>
      <c r="CB37" s="22"/>
      <c r="CC37" s="117"/>
      <c r="CD37" s="20"/>
      <c r="CE37" s="20"/>
      <c r="CF37" s="20"/>
      <c r="CG37" s="22">
        <f>BN37/0.31</f>
        <v>619.35483870967744</v>
      </c>
      <c r="CH37" s="22">
        <f>BO37/0.808</f>
        <v>415.8415841584158</v>
      </c>
      <c r="CI37" s="22"/>
      <c r="CJ37" s="22">
        <f>BQ37/0.6</f>
        <v>203.33333333333334</v>
      </c>
      <c r="CK37" s="22"/>
      <c r="CL37" s="22"/>
      <c r="CM37" s="22"/>
      <c r="CN37" s="22"/>
      <c r="CO37" s="22"/>
      <c r="CP37" s="22"/>
      <c r="CQ37" s="22"/>
      <c r="CR37" s="22"/>
      <c r="CS37" s="22"/>
      <c r="CT37" s="22"/>
      <c r="CU37" s="22">
        <f>AZ37/BK37</f>
        <v>7.9365671641791042</v>
      </c>
      <c r="CV37" s="117">
        <f>AZ37/BN37</f>
        <v>11.078125</v>
      </c>
      <c r="CW37" s="22">
        <f>BN37/BK37</f>
        <v>0.71641791044776115</v>
      </c>
      <c r="CX37" s="20">
        <f>AG37/BK37</f>
        <v>60.397388059701498</v>
      </c>
      <c r="CY37" s="22"/>
      <c r="CZ37" s="22"/>
      <c r="DA37" s="22"/>
      <c r="DB37" s="22">
        <f>BJ37/BK37</f>
        <v>1.1902985074626866</v>
      </c>
      <c r="DC37" s="22"/>
      <c r="DD37" s="22"/>
      <c r="DE37" s="22"/>
      <c r="DF37" s="22"/>
      <c r="DG37" s="19">
        <f>BK37/BI37</f>
        <v>6.3809523809523814</v>
      </c>
      <c r="DH37" s="20">
        <f>AH37/BN37</f>
        <v>233.49375000000001</v>
      </c>
      <c r="DI37" s="19"/>
      <c r="DJ37" s="22"/>
      <c r="DK37" s="22"/>
      <c r="DL37" s="22"/>
      <c r="DM37" s="22"/>
      <c r="DN37" s="22"/>
      <c r="DO37" s="22"/>
      <c r="DP37" s="20"/>
      <c r="DQ37" s="22">
        <f>AY37/BQ37</f>
        <v>23.565573770491802</v>
      </c>
      <c r="DR37" s="22"/>
      <c r="DS37" s="19"/>
      <c r="DT37" s="23">
        <f>1/AY37</f>
        <v>3.4782608695652176E-4</v>
      </c>
      <c r="DU37" s="22">
        <f>BJ37/BI37</f>
        <v>7.5952380952380949</v>
      </c>
      <c r="DV37" s="22"/>
      <c r="DW37" s="22">
        <f>1.74+LOG(BK37/BI37)-1.92*LOG(BJ37/BI37)</f>
        <v>0.85424602972506958</v>
      </c>
      <c r="DX37" s="22">
        <f>BK37*100/BJ37</f>
        <v>84.012539184952985</v>
      </c>
      <c r="DY37" s="22"/>
      <c r="DZ37" s="19">
        <f>EI37*100/AY37</f>
        <v>1.0262444319604361E-2</v>
      </c>
      <c r="EA37" s="23"/>
      <c r="EB37" s="19"/>
      <c r="EC37" s="19"/>
      <c r="ED37" s="19"/>
      <c r="EE37" s="19">
        <f t="shared" si="61"/>
        <v>39.373283141723476</v>
      </c>
      <c r="EF37" s="19">
        <f t="shared" si="62"/>
        <v>2.7469732424458235</v>
      </c>
      <c r="EG37" s="19">
        <f t="shared" si="63"/>
        <v>14.650523959711059</v>
      </c>
      <c r="EH37" s="19">
        <f t="shared" si="64"/>
        <v>13.429646963068469</v>
      </c>
      <c r="EI37" s="19">
        <f t="shared" si="65"/>
        <v>0.29504527418862542</v>
      </c>
      <c r="EJ37" s="19">
        <f t="shared" si="66"/>
        <v>4.1713297385288426</v>
      </c>
      <c r="EK37" s="19">
        <f t="shared" si="67"/>
        <v>12.412249465866314</v>
      </c>
      <c r="EL37" s="19">
        <f t="shared" si="68"/>
        <v>5.9009054837725099</v>
      </c>
      <c r="EM37" s="19">
        <f t="shared" si="69"/>
        <v>5.4939464848916471</v>
      </c>
      <c r="EN37" s="19">
        <f t="shared" si="70"/>
        <v>1.5260962458032352</v>
      </c>
      <c r="EO37" s="19">
        <f t="shared" si="71"/>
        <v>99.999999999999986</v>
      </c>
    </row>
    <row r="38" spans="1:146">
      <c r="A38" s="1" t="s">
        <v>45</v>
      </c>
      <c r="B38" s="36" t="s">
        <v>54</v>
      </c>
      <c r="C38" s="1">
        <v>1</v>
      </c>
      <c r="D38" s="1" t="s">
        <v>43</v>
      </c>
      <c r="E38" s="1" t="s">
        <v>53</v>
      </c>
      <c r="F38" s="2"/>
      <c r="G38" s="14">
        <v>36.78</v>
      </c>
      <c r="H38" s="14">
        <v>2.71</v>
      </c>
      <c r="I38" s="14">
        <v>12.43</v>
      </c>
      <c r="J38" s="14">
        <v>12.76</v>
      </c>
      <c r="K38" s="14">
        <v>0.35</v>
      </c>
      <c r="L38" s="14">
        <v>5</v>
      </c>
      <c r="M38" s="14">
        <v>17.29</v>
      </c>
      <c r="N38" s="14">
        <v>4.45</v>
      </c>
      <c r="O38" s="14">
        <v>5.04</v>
      </c>
      <c r="P38" s="14">
        <v>1.7</v>
      </c>
      <c r="Q38" s="14">
        <v>4.0999999999999996</v>
      </c>
      <c r="R38" s="14"/>
      <c r="S38" s="15">
        <f t="shared" si="0"/>
        <v>102.61</v>
      </c>
      <c r="U38" s="86"/>
      <c r="V38" s="86"/>
      <c r="W38" s="14"/>
      <c r="X38" s="14"/>
      <c r="Y38" s="14"/>
      <c r="Z38" s="14"/>
      <c r="AA38" s="14"/>
      <c r="AB38" s="14"/>
      <c r="AC38" s="14"/>
      <c r="AD38" s="14"/>
      <c r="AF38" s="19">
        <f t="shared" si="1"/>
        <v>0.47731692100049444</v>
      </c>
      <c r="AG38" s="20">
        <f t="shared" si="2"/>
        <v>16246.449999999999</v>
      </c>
      <c r="AH38" s="20">
        <f t="shared" si="3"/>
        <v>41842.080000000002</v>
      </c>
      <c r="AI38" s="20">
        <f t="shared" si="77"/>
        <v>7418.8</v>
      </c>
      <c r="AJ38" s="19">
        <f t="shared" si="4"/>
        <v>9.49</v>
      </c>
      <c r="AK38" s="19">
        <f t="shared" si="5"/>
        <v>1.1325842696629214</v>
      </c>
      <c r="AL38" s="19">
        <f t="shared" si="6"/>
        <v>0.88293650793650802</v>
      </c>
      <c r="AM38" s="19">
        <f t="shared" si="7"/>
        <v>1.3909895414320192</v>
      </c>
      <c r="AN38" s="19">
        <f t="shared" si="8"/>
        <v>1.0278071541192559</v>
      </c>
      <c r="AO38" s="118">
        <f t="shared" si="9"/>
        <v>-543.64707694472463</v>
      </c>
      <c r="AP38" s="118">
        <f t="shared" si="10"/>
        <v>2377.2382608671464</v>
      </c>
      <c r="AQ38" s="19">
        <f t="shared" si="11"/>
        <v>0.28115247811267918</v>
      </c>
      <c r="AR38" s="19">
        <f t="shared" si="12"/>
        <v>1.0278071541192559</v>
      </c>
      <c r="AS38" s="118">
        <f t="shared" si="13"/>
        <v>-543.64707694472463</v>
      </c>
      <c r="AT38" s="118">
        <f t="shared" si="14"/>
        <v>2377.2382608671464</v>
      </c>
      <c r="AU38" s="14">
        <f t="shared" si="15"/>
        <v>0.13703099510603589</v>
      </c>
      <c r="AV38" s="14">
        <f t="shared" si="16"/>
        <v>0.43887246286209142</v>
      </c>
      <c r="AW38" s="19"/>
      <c r="AX38" s="118"/>
      <c r="AY38" s="118">
        <v>4103</v>
      </c>
      <c r="AZ38" s="118">
        <v>2879</v>
      </c>
      <c r="BA38" s="22"/>
      <c r="BB38" s="118">
        <v>5.8</v>
      </c>
      <c r="BC38" s="118">
        <v>350</v>
      </c>
      <c r="BD38" s="118">
        <v>15</v>
      </c>
      <c r="BE38" s="118"/>
      <c r="BF38" s="118"/>
      <c r="BG38" s="20"/>
      <c r="BH38" s="118">
        <v>138</v>
      </c>
      <c r="BI38" s="118">
        <v>56</v>
      </c>
      <c r="BJ38" s="118">
        <v>411</v>
      </c>
      <c r="BK38" s="118"/>
      <c r="BL38" s="117"/>
      <c r="BM38" s="117"/>
      <c r="BN38" s="117">
        <v>264</v>
      </c>
      <c r="BO38" s="117">
        <v>432</v>
      </c>
      <c r="BP38" s="22"/>
      <c r="BQ38" s="117">
        <v>161</v>
      </c>
      <c r="BR38" s="14"/>
      <c r="BS38" s="14"/>
      <c r="BT38" s="22"/>
      <c r="BU38" s="14"/>
      <c r="BV38" s="19"/>
      <c r="BW38" s="19"/>
      <c r="BX38" s="19"/>
      <c r="BY38" s="19"/>
      <c r="BZ38" s="14"/>
      <c r="CA38" s="14"/>
      <c r="CB38" s="22"/>
      <c r="CC38" s="117"/>
      <c r="CD38" s="20"/>
      <c r="CE38" s="20"/>
      <c r="CF38" s="20"/>
      <c r="CG38" s="22">
        <f>BN38/0.31</f>
        <v>851.61290322580646</v>
      </c>
      <c r="CH38" s="22">
        <f>BO38/0.808</f>
        <v>534.65346534653463</v>
      </c>
      <c r="CI38" s="22"/>
      <c r="CJ38" s="22">
        <f>BQ38/0.6</f>
        <v>268.33333333333337</v>
      </c>
      <c r="CK38" s="22"/>
      <c r="CL38" s="22"/>
      <c r="CM38" s="22"/>
      <c r="CN38" s="22"/>
      <c r="CO38" s="22"/>
      <c r="CP38" s="22"/>
      <c r="CQ38" s="22"/>
      <c r="CR38" s="22"/>
      <c r="CS38" s="22"/>
      <c r="CT38" s="22"/>
      <c r="CU38" s="22"/>
      <c r="CV38" s="117">
        <f>AZ38/BN38</f>
        <v>10.905303030303031</v>
      </c>
      <c r="CW38" s="22"/>
      <c r="CX38" s="20"/>
      <c r="CY38" s="22"/>
      <c r="CZ38" s="22"/>
      <c r="DA38" s="22"/>
      <c r="DB38" s="22"/>
      <c r="DC38" s="22"/>
      <c r="DD38" s="22"/>
      <c r="DE38" s="22"/>
      <c r="DF38" s="22"/>
      <c r="DG38" s="19"/>
      <c r="DH38" s="20">
        <f>AH38/BN38</f>
        <v>158.49272727272728</v>
      </c>
      <c r="DI38" s="19"/>
      <c r="DJ38" s="22"/>
      <c r="DK38" s="22"/>
      <c r="DL38" s="22"/>
      <c r="DM38" s="22"/>
      <c r="DN38" s="22"/>
      <c r="DO38" s="22"/>
      <c r="DP38" s="20"/>
      <c r="DQ38" s="22">
        <f>AY38/BQ38</f>
        <v>25.48447204968944</v>
      </c>
      <c r="DR38" s="22"/>
      <c r="DS38" s="19"/>
      <c r="DT38" s="23">
        <f>1/AY38</f>
        <v>2.4372410431391665E-4</v>
      </c>
      <c r="DU38" s="22">
        <f>BJ38/BI38</f>
        <v>7.3392857142857144</v>
      </c>
      <c r="DV38" s="22"/>
      <c r="DW38" s="22"/>
      <c r="DX38" s="22"/>
      <c r="DY38" s="22"/>
      <c r="DZ38" s="19">
        <f>EI38*100/AY38</f>
        <v>8.6593682377292501E-3</v>
      </c>
      <c r="EA38" s="23"/>
      <c r="EB38" s="19"/>
      <c r="EC38" s="19"/>
      <c r="ED38" s="19"/>
      <c r="EE38" s="19">
        <f t="shared" si="61"/>
        <v>37.336311034412745</v>
      </c>
      <c r="EF38" s="19">
        <f t="shared" si="62"/>
        <v>2.7509897472337834</v>
      </c>
      <c r="EG38" s="19">
        <f t="shared" si="63"/>
        <v>12.618008324028017</v>
      </c>
      <c r="EH38" s="19">
        <f t="shared" si="64"/>
        <v>12.952999695462388</v>
      </c>
      <c r="EI38" s="19">
        <f t="shared" si="65"/>
        <v>0.35529387879403107</v>
      </c>
      <c r="EJ38" s="19">
        <f t="shared" si="66"/>
        <v>5.0756268399147295</v>
      </c>
      <c r="EK38" s="19">
        <f t="shared" si="67"/>
        <v>17.551517612425133</v>
      </c>
      <c r="EL38" s="19">
        <f t="shared" si="68"/>
        <v>4.5173078875241091</v>
      </c>
      <c r="EM38" s="19">
        <f t="shared" si="69"/>
        <v>5.1162318546340471</v>
      </c>
      <c r="EN38" s="19">
        <f t="shared" si="70"/>
        <v>1.7257131255710079</v>
      </c>
      <c r="EO38" s="19">
        <f t="shared" si="71"/>
        <v>100</v>
      </c>
    </row>
    <row r="39" spans="1:146">
      <c r="A39" s="1" t="s">
        <v>45</v>
      </c>
      <c r="B39" s="36" t="s">
        <v>54</v>
      </c>
      <c r="C39" s="1">
        <v>1</v>
      </c>
      <c r="D39" s="1" t="s">
        <v>43</v>
      </c>
      <c r="E39" s="1" t="s">
        <v>53</v>
      </c>
      <c r="F39" s="2"/>
      <c r="G39" s="14">
        <v>36.869999999999997</v>
      </c>
      <c r="H39" s="14">
        <v>2.83</v>
      </c>
      <c r="I39" s="14">
        <v>13.26</v>
      </c>
      <c r="J39" s="14">
        <v>13.15</v>
      </c>
      <c r="K39" s="14">
        <v>0.32</v>
      </c>
      <c r="L39" s="14">
        <v>4.95</v>
      </c>
      <c r="M39" s="14">
        <v>14.19</v>
      </c>
      <c r="N39" s="14">
        <v>5.73</v>
      </c>
      <c r="O39" s="14">
        <v>5.51</v>
      </c>
      <c r="P39" s="14">
        <v>1.84</v>
      </c>
      <c r="Q39" s="14">
        <v>0.05</v>
      </c>
      <c r="R39" s="14"/>
      <c r="S39" s="15">
        <f t="shared" ref="S39:S55" si="81">G39+H39+I39+J39+K39+L39+M39+N39+O39+P39+Q39</f>
        <v>98.7</v>
      </c>
      <c r="U39" s="86"/>
      <c r="V39" s="86"/>
      <c r="W39" s="14"/>
      <c r="X39" s="14"/>
      <c r="Y39" s="14"/>
      <c r="Z39" s="14"/>
      <c r="AA39" s="14"/>
      <c r="AB39" s="14"/>
      <c r="AC39" s="14"/>
      <c r="AD39" s="14"/>
      <c r="AF39" s="19">
        <f t="shared" ref="AF39:AF55" si="82">(L39/40.31)/((L39/40.31)+(J39-(J39*0.15))*0.8998/71.85)</f>
        <v>0.46730883945070734</v>
      </c>
      <c r="AG39" s="20">
        <f t="shared" ref="AG39:AG55" si="83">H39*5995</f>
        <v>16965.850000000002</v>
      </c>
      <c r="AH39" s="20">
        <f t="shared" ref="AH39:AH55" si="84">O39*8302</f>
        <v>45744.02</v>
      </c>
      <c r="AI39" s="20">
        <f t="shared" si="77"/>
        <v>8029.76</v>
      </c>
      <c r="AJ39" s="19">
        <f t="shared" ref="AJ39:AJ55" si="85">N39+O39</f>
        <v>11.24</v>
      </c>
      <c r="AK39" s="19">
        <f t="shared" ref="AK39:AK55" si="86">O39/N39</f>
        <v>0.96160558464223378</v>
      </c>
      <c r="AL39" s="19">
        <f t="shared" ref="AL39:AL55" si="87">N39/O39</f>
        <v>1.0399274047186935</v>
      </c>
      <c r="AM39" s="19">
        <f t="shared" ref="AM39:AM55" si="88">EK39/EG39</f>
        <v>1.0701357466063348</v>
      </c>
      <c r="AN39" s="19">
        <f t="shared" ref="AN39:AN55" si="89">(EL39/61.98+EM39/94.2)/(EG39/101.96)</f>
        <v>1.1606350254954918</v>
      </c>
      <c r="AO39" s="118">
        <f t="shared" si="9"/>
        <v>-1116.6250739930308</v>
      </c>
      <c r="AP39" s="118">
        <f t="shared" si="10"/>
        <v>2051.6450800283242</v>
      </c>
      <c r="AQ39" s="19">
        <f t="shared" si="11"/>
        <v>0.32192982841848017</v>
      </c>
      <c r="AR39" s="19">
        <f t="shared" si="12"/>
        <v>1.1606350254954918</v>
      </c>
      <c r="AS39" s="118">
        <f t="shared" si="13"/>
        <v>-1116.6250739930308</v>
      </c>
      <c r="AT39" s="118">
        <f t="shared" si="14"/>
        <v>2051.6450800283242</v>
      </c>
      <c r="AU39" s="14">
        <f t="shared" ref="AU39:AU55" si="90">O39/G39</f>
        <v>0.14944399240574993</v>
      </c>
      <c r="AV39" s="14">
        <f t="shared" ref="AV39:AV55" si="91">(O39/94.2)/(I39/101.96)</f>
        <v>0.44976639030591814</v>
      </c>
      <c r="AW39" s="19"/>
      <c r="AX39" s="118"/>
      <c r="AY39" s="118">
        <v>2899</v>
      </c>
      <c r="AZ39" s="118">
        <v>2308</v>
      </c>
      <c r="BA39" s="22"/>
      <c r="BB39" s="118">
        <v>4.8</v>
      </c>
      <c r="BC39" s="118">
        <v>385</v>
      </c>
      <c r="BD39" s="118">
        <v>19</v>
      </c>
      <c r="BE39" s="118"/>
      <c r="BF39" s="118"/>
      <c r="BG39" s="20"/>
      <c r="BH39" s="118">
        <v>117</v>
      </c>
      <c r="BI39" s="118">
        <v>47</v>
      </c>
      <c r="BJ39" s="118">
        <v>328</v>
      </c>
      <c r="BK39" s="118"/>
      <c r="BL39" s="117"/>
      <c r="BM39" s="117"/>
      <c r="BN39" s="117">
        <v>214</v>
      </c>
      <c r="BO39" s="117">
        <v>367</v>
      </c>
      <c r="BP39" s="22"/>
      <c r="BQ39" s="117">
        <v>151</v>
      </c>
      <c r="BR39" s="14"/>
      <c r="BS39" s="14"/>
      <c r="BT39" s="22"/>
      <c r="BU39" s="14"/>
      <c r="BV39" s="19"/>
      <c r="BW39" s="19"/>
      <c r="BX39" s="19"/>
      <c r="BY39" s="19"/>
      <c r="BZ39" s="14"/>
      <c r="CA39" s="14"/>
      <c r="CB39" s="22"/>
      <c r="CC39" s="117"/>
      <c r="CD39" s="20"/>
      <c r="CE39" s="20"/>
      <c r="CF39" s="20"/>
      <c r="CG39" s="22">
        <f>BN39/0.31</f>
        <v>690.32258064516134</v>
      </c>
      <c r="CH39" s="22">
        <f>BO39/0.808</f>
        <v>454.20792079207916</v>
      </c>
      <c r="CI39" s="22"/>
      <c r="CJ39" s="22">
        <f>BQ39/0.6</f>
        <v>251.66666666666669</v>
      </c>
      <c r="CK39" s="22"/>
      <c r="CL39" s="22"/>
      <c r="CM39" s="22"/>
      <c r="CN39" s="22"/>
      <c r="CO39" s="22"/>
      <c r="CP39" s="22"/>
      <c r="CQ39" s="22"/>
      <c r="CR39" s="22"/>
      <c r="CS39" s="22"/>
      <c r="CT39" s="22"/>
      <c r="CU39" s="22"/>
      <c r="CV39" s="117">
        <f>AZ39/BN39</f>
        <v>10.785046728971963</v>
      </c>
      <c r="CW39" s="22"/>
      <c r="CX39" s="20"/>
      <c r="CY39" s="22"/>
      <c r="CZ39" s="22"/>
      <c r="DA39" s="22"/>
      <c r="DB39" s="22"/>
      <c r="DC39" s="22"/>
      <c r="DD39" s="22"/>
      <c r="DE39" s="22"/>
      <c r="DF39" s="22"/>
      <c r="DG39" s="19"/>
      <c r="DH39" s="20">
        <f>AH39/BN39</f>
        <v>213.75710280373829</v>
      </c>
      <c r="DI39" s="19"/>
      <c r="DJ39" s="22"/>
      <c r="DK39" s="22"/>
      <c r="DL39" s="22"/>
      <c r="DM39" s="22"/>
      <c r="DN39" s="22"/>
      <c r="DO39" s="22"/>
      <c r="DP39" s="20"/>
      <c r="DQ39" s="22">
        <f>AY39/BQ39</f>
        <v>19.198675496688743</v>
      </c>
      <c r="DR39" s="22"/>
      <c r="DS39" s="19"/>
      <c r="DT39" s="23">
        <f>1/AY39</f>
        <v>3.4494653328734045E-4</v>
      </c>
      <c r="DU39" s="22">
        <f>BJ39/BI39</f>
        <v>6.9787234042553195</v>
      </c>
      <c r="DV39" s="22"/>
      <c r="DW39" s="22"/>
      <c r="DX39" s="22"/>
      <c r="DY39" s="22"/>
      <c r="DZ39" s="19">
        <f>EI39*100/AY39</f>
        <v>1.1189345225742418E-2</v>
      </c>
      <c r="EA39" s="23"/>
      <c r="EB39" s="19"/>
      <c r="EC39" s="19"/>
      <c r="ED39" s="19"/>
      <c r="EE39" s="19">
        <f t="shared" ref="EE39:EE55" si="92">100*G39/($G39+$H39+$I39+$J39+$K39+$L39+$M39+$N39+$O39+$P39)</f>
        <v>37.374556512924471</v>
      </c>
      <c r="EF39" s="19">
        <f t="shared" ref="EF39:EF55" si="93">100*H39/($G39+$H39+$I39+$J39+$K39+$L39+$M39+$N39+$O39+$P39)</f>
        <v>2.8687278256462236</v>
      </c>
      <c r="EG39" s="19">
        <f t="shared" ref="EG39:EG55" si="94">100*I39/($G39+$H39+$I39+$J39+$K39+$L39+$M39+$N39+$O39+$P39)</f>
        <v>13.441459706031424</v>
      </c>
      <c r="EH39" s="19">
        <f t="shared" ref="EH39:EH55" si="95">100*J39/($G39+$H39+$I39+$J39+$K39+$L39+$M39+$N39+$O39+$P39)</f>
        <v>13.329954384186518</v>
      </c>
      <c r="EI39" s="19">
        <f t="shared" ref="EI39:EI55" si="96">100*K39/($G39+$H39+$I39+$J39+$K39+$L39+$M39+$N39+$O39+$P39)</f>
        <v>0.32437911809427267</v>
      </c>
      <c r="EJ39" s="19">
        <f t="shared" ref="EJ39:EJ55" si="97">100*L39/($G39+$H39+$I39+$J39+$K39+$L39+$M39+$N39+$O39+$P39)</f>
        <v>5.0177394830207804</v>
      </c>
      <c r="EK39" s="19">
        <f t="shared" ref="EK39:EK55" si="98">100*M39/($G39+$H39+$I39+$J39+$K39+$L39+$M39+$N39+$O39+$P39)</f>
        <v>14.384186517992903</v>
      </c>
      <c r="EL39" s="19">
        <f t="shared" ref="EL39:EL55" si="99">100*N39/($G39+$H39+$I39+$J39+$K39+$L39+$M39+$N39+$O39+$P39)</f>
        <v>5.8084135833755699</v>
      </c>
      <c r="EM39" s="19">
        <f t="shared" ref="EM39:EM55" si="100">100*O39/($G39+$H39+$I39+$J39+$K39+$L39+$M39+$N39+$O39+$P39)</f>
        <v>5.5854029396857579</v>
      </c>
      <c r="EN39" s="19">
        <f t="shared" ref="EN39:EN55" si="101">100*P39/($G39+$H39+$I39+$J39+$K39+$L39+$M39+$N39+$O39+$P39)</f>
        <v>1.8651799290420679</v>
      </c>
      <c r="EO39" s="19">
        <f t="shared" ref="EO39:EO55" si="102">SUM(EE39:EN39)</f>
        <v>99.999999999999986</v>
      </c>
    </row>
    <row r="40" spans="1:146">
      <c r="A40" s="1" t="s">
        <v>45</v>
      </c>
      <c r="B40" s="36" t="s">
        <v>52</v>
      </c>
      <c r="C40" s="1">
        <v>1</v>
      </c>
      <c r="D40" s="1" t="s">
        <v>43</v>
      </c>
      <c r="E40" s="1" t="s">
        <v>51</v>
      </c>
      <c r="F40" s="2"/>
      <c r="G40" s="14">
        <v>36.479999999999997</v>
      </c>
      <c r="H40" s="14">
        <v>2.6</v>
      </c>
      <c r="I40" s="14">
        <v>14.78</v>
      </c>
      <c r="J40" s="14">
        <f>9.74+(1.11*2.08)</f>
        <v>12.0488</v>
      </c>
      <c r="K40" s="14">
        <v>0.24</v>
      </c>
      <c r="L40" s="14">
        <v>4.62</v>
      </c>
      <c r="M40" s="14">
        <v>12.99</v>
      </c>
      <c r="N40" s="14">
        <v>4.8499999999999996</v>
      </c>
      <c r="O40" s="14">
        <v>6.42</v>
      </c>
      <c r="P40" s="14">
        <v>1.72</v>
      </c>
      <c r="Q40" s="14">
        <v>0.83</v>
      </c>
      <c r="R40" s="14">
        <v>2.4300000000000002</v>
      </c>
      <c r="S40" s="15">
        <f t="shared" si="81"/>
        <v>97.578799999999987</v>
      </c>
      <c r="U40" s="86"/>
      <c r="V40" s="86"/>
      <c r="W40" s="14"/>
      <c r="X40" s="14"/>
      <c r="Y40" s="14"/>
      <c r="Z40" s="14"/>
      <c r="AA40" s="14"/>
      <c r="AB40" s="14"/>
      <c r="AC40" s="14"/>
      <c r="AD40" s="14"/>
      <c r="AF40" s="19">
        <f t="shared" si="82"/>
        <v>0.47190770649596325</v>
      </c>
      <c r="AG40" s="20">
        <f t="shared" si="83"/>
        <v>15587</v>
      </c>
      <c r="AH40" s="20">
        <f t="shared" si="84"/>
        <v>53298.84</v>
      </c>
      <c r="AI40" s="20">
        <f t="shared" si="77"/>
        <v>7506.08</v>
      </c>
      <c r="AJ40" s="19">
        <f t="shared" si="85"/>
        <v>11.27</v>
      </c>
      <c r="AK40" s="19">
        <f t="shared" si="86"/>
        <v>1.3237113402061857</v>
      </c>
      <c r="AL40" s="19">
        <f t="shared" si="87"/>
        <v>0.75545171339563855</v>
      </c>
      <c r="AM40" s="19">
        <f t="shared" si="88"/>
        <v>0.87889039242219213</v>
      </c>
      <c r="AN40" s="19">
        <f t="shared" si="89"/>
        <v>1.0099690913450283</v>
      </c>
      <c r="AO40" s="118">
        <f t="shared" si="9"/>
        <v>-1042.0104935875904</v>
      </c>
      <c r="AP40" s="118">
        <f t="shared" si="10"/>
        <v>1973.1493280329266</v>
      </c>
      <c r="AQ40" s="19">
        <f t="shared" si="11"/>
        <v>0.38345107471151862</v>
      </c>
      <c r="AR40" s="19">
        <f t="shared" si="12"/>
        <v>1.0099690913450283</v>
      </c>
      <c r="AS40" s="118">
        <f t="shared" si="13"/>
        <v>-1042.0104935875904</v>
      </c>
      <c r="AT40" s="118">
        <f t="shared" si="14"/>
        <v>1973.1493280329266</v>
      </c>
      <c r="AU40" s="14">
        <f t="shared" si="90"/>
        <v>0.17598684210526316</v>
      </c>
      <c r="AV40" s="14">
        <f t="shared" si="91"/>
        <v>0.47015333166699708</v>
      </c>
      <c r="AX40" s="118"/>
      <c r="AY40" s="118"/>
      <c r="AZ40" s="118"/>
      <c r="BB40" s="118"/>
      <c r="BC40" s="118"/>
      <c r="BE40" s="118"/>
      <c r="BF40" s="118"/>
      <c r="BG40" s="118"/>
      <c r="BH40" s="118"/>
      <c r="BI40" s="118"/>
      <c r="BJ40" s="118"/>
      <c r="BK40" s="118"/>
      <c r="BL40" s="117"/>
      <c r="BM40" s="117"/>
      <c r="BN40" s="117"/>
      <c r="BO40" s="117"/>
      <c r="BP40" s="117"/>
      <c r="BQ40" s="117"/>
      <c r="BR40" s="14"/>
      <c r="BS40" s="14"/>
      <c r="BT40" s="117"/>
      <c r="BU40" s="14"/>
      <c r="BV40" s="14"/>
      <c r="BW40" s="14"/>
      <c r="BX40" s="14"/>
      <c r="BY40" s="14"/>
      <c r="BZ40" s="14"/>
      <c r="CA40" s="14"/>
      <c r="CB40" s="117"/>
      <c r="CC40" s="117"/>
      <c r="CD40" s="118"/>
      <c r="CE40" s="118"/>
      <c r="CF40" s="118"/>
      <c r="CG40" s="22"/>
      <c r="CH40" s="22"/>
      <c r="CI40" s="22"/>
      <c r="CJ40" s="22"/>
      <c r="CK40" s="22"/>
      <c r="CL40" s="22"/>
      <c r="CM40" s="22"/>
      <c r="CN40" s="22"/>
      <c r="CO40" s="22"/>
      <c r="CP40" s="22"/>
      <c r="CQ40" s="22"/>
      <c r="CR40" s="22"/>
      <c r="CS40" s="22"/>
      <c r="CT40" s="22"/>
      <c r="CU40" s="22"/>
      <c r="CV40" s="117"/>
      <c r="CW40" s="22"/>
      <c r="CX40" s="20"/>
      <c r="CY40" s="22"/>
      <c r="CZ40" s="22"/>
      <c r="DA40" s="22"/>
      <c r="DB40" s="22"/>
      <c r="DC40" s="22"/>
      <c r="DD40" s="22"/>
      <c r="DE40" s="22"/>
      <c r="DF40" s="22"/>
      <c r="DG40" s="19"/>
      <c r="DH40" s="20"/>
      <c r="DI40" s="19"/>
      <c r="DJ40" s="22"/>
      <c r="DK40" s="22"/>
      <c r="DL40" s="22"/>
      <c r="DM40" s="22"/>
      <c r="DN40" s="22"/>
      <c r="DO40" s="22"/>
      <c r="DP40" s="20"/>
      <c r="DQ40" s="22"/>
      <c r="DR40" s="22"/>
      <c r="DS40" s="19"/>
      <c r="DT40" s="23"/>
      <c r="DU40" s="22"/>
      <c r="DV40" s="22"/>
      <c r="DW40" s="22"/>
      <c r="DX40" s="22"/>
      <c r="DY40" s="22"/>
      <c r="DZ40" s="19"/>
      <c r="EA40" s="23"/>
      <c r="EB40" s="19"/>
      <c r="EC40" s="19"/>
      <c r="ED40" s="19"/>
      <c r="EE40" s="19">
        <f t="shared" si="92"/>
        <v>37.705894026592574</v>
      </c>
      <c r="EF40" s="19">
        <f t="shared" si="93"/>
        <v>2.6873718330356557</v>
      </c>
      <c r="EG40" s="19">
        <f t="shared" si="94"/>
        <v>15.276675266256534</v>
      </c>
      <c r="EH40" s="19">
        <f t="shared" si="95"/>
        <v>12.453694516107696</v>
      </c>
      <c r="EI40" s="19">
        <f t="shared" si="96"/>
        <v>0.24806509228021437</v>
      </c>
      <c r="EJ40" s="19">
        <f t="shared" si="97"/>
        <v>4.7752530263941262</v>
      </c>
      <c r="EK40" s="19">
        <f t="shared" si="98"/>
        <v>13.426523119666602</v>
      </c>
      <c r="EL40" s="19">
        <f t="shared" si="99"/>
        <v>5.0129820731626644</v>
      </c>
      <c r="EM40" s="19">
        <f t="shared" si="100"/>
        <v>6.6357412184957338</v>
      </c>
      <c r="EN40" s="19">
        <f t="shared" si="101"/>
        <v>1.7777998280082028</v>
      </c>
      <c r="EO40" s="19">
        <f t="shared" si="102"/>
        <v>99.999999999999986</v>
      </c>
    </row>
    <row r="41" spans="1:146">
      <c r="A41" s="1" t="s">
        <v>45</v>
      </c>
      <c r="B41" s="36" t="s">
        <v>52</v>
      </c>
      <c r="C41" s="1">
        <v>1</v>
      </c>
      <c r="D41" s="1" t="s">
        <v>43</v>
      </c>
      <c r="E41" s="1" t="s">
        <v>51</v>
      </c>
      <c r="F41" s="2"/>
      <c r="G41" s="14">
        <v>35.97</v>
      </c>
      <c r="H41" s="14">
        <v>2.85</v>
      </c>
      <c r="I41" s="14">
        <v>12.04</v>
      </c>
      <c r="J41" s="14">
        <f>11.5+(1.11*0.85)</f>
        <v>12.4435</v>
      </c>
      <c r="K41" s="14">
        <v>0.27</v>
      </c>
      <c r="L41" s="14">
        <v>6.19</v>
      </c>
      <c r="M41" s="14">
        <v>17.7</v>
      </c>
      <c r="N41" s="14">
        <v>4.42</v>
      </c>
      <c r="O41" s="14">
        <v>4.57</v>
      </c>
      <c r="P41" s="14">
        <v>2.06</v>
      </c>
      <c r="Q41" s="14">
        <v>0.75</v>
      </c>
      <c r="R41" s="14">
        <v>0.94</v>
      </c>
      <c r="S41" s="15">
        <f t="shared" si="81"/>
        <v>99.263500000000022</v>
      </c>
      <c r="U41" s="86"/>
      <c r="V41" s="86"/>
      <c r="W41" s="14"/>
      <c r="X41" s="14"/>
      <c r="Y41" s="14"/>
      <c r="Z41" s="14"/>
      <c r="AA41" s="14"/>
      <c r="AB41" s="14"/>
      <c r="AC41" s="14"/>
      <c r="AD41" s="14"/>
      <c r="AF41" s="19">
        <f t="shared" si="82"/>
        <v>0.53688771027968474</v>
      </c>
      <c r="AG41" s="20">
        <f t="shared" si="83"/>
        <v>17085.75</v>
      </c>
      <c r="AH41" s="20">
        <f t="shared" si="84"/>
        <v>37940.14</v>
      </c>
      <c r="AI41" s="20">
        <f t="shared" si="77"/>
        <v>8989.84</v>
      </c>
      <c r="AJ41" s="19">
        <f t="shared" si="85"/>
        <v>8.99</v>
      </c>
      <c r="AK41" s="19">
        <f t="shared" si="86"/>
        <v>1.0339366515837105</v>
      </c>
      <c r="AL41" s="19">
        <f t="shared" si="87"/>
        <v>0.96717724288840257</v>
      </c>
      <c r="AM41" s="19">
        <f t="shared" si="88"/>
        <v>1.4700996677740865</v>
      </c>
      <c r="AN41" s="19">
        <f t="shared" si="89"/>
        <v>1.014748662785969</v>
      </c>
      <c r="AO41" s="118">
        <f t="shared" si="9"/>
        <v>-475.6724178302635</v>
      </c>
      <c r="AP41" s="118">
        <f t="shared" si="10"/>
        <v>2473.864322902652</v>
      </c>
      <c r="AQ41" s="19">
        <f t="shared" si="11"/>
        <v>0.27118189402880682</v>
      </c>
      <c r="AR41" s="19">
        <f t="shared" si="12"/>
        <v>1.014748662785969</v>
      </c>
      <c r="AS41" s="118">
        <f t="shared" si="13"/>
        <v>-475.6724178302635</v>
      </c>
      <c r="AT41" s="118">
        <f t="shared" si="14"/>
        <v>2473.864322902652</v>
      </c>
      <c r="AU41" s="14">
        <f t="shared" si="90"/>
        <v>0.12705031971087019</v>
      </c>
      <c r="AV41" s="14">
        <f t="shared" si="91"/>
        <v>0.41083613715075723</v>
      </c>
      <c r="AX41" s="118"/>
      <c r="AY41" s="118"/>
      <c r="AZ41" s="118"/>
      <c r="BB41" s="118"/>
      <c r="BC41" s="118"/>
      <c r="BE41" s="118"/>
      <c r="BF41" s="118"/>
      <c r="BG41" s="118"/>
      <c r="BH41" s="118"/>
      <c r="BI41" s="118"/>
      <c r="BJ41" s="118"/>
      <c r="BK41" s="118"/>
      <c r="BL41" s="117"/>
      <c r="BM41" s="117"/>
      <c r="BN41" s="117"/>
      <c r="BO41" s="117"/>
      <c r="BP41" s="117"/>
      <c r="BQ41" s="117"/>
      <c r="BR41" s="14"/>
      <c r="BS41" s="14"/>
      <c r="BT41" s="117"/>
      <c r="BU41" s="14"/>
      <c r="BV41" s="14"/>
      <c r="BW41" s="14"/>
      <c r="BX41" s="14"/>
      <c r="BY41" s="14"/>
      <c r="BZ41" s="14"/>
      <c r="CA41" s="14"/>
      <c r="CB41" s="117"/>
      <c r="CC41" s="117"/>
      <c r="CD41" s="118"/>
      <c r="CE41" s="118"/>
      <c r="CF41" s="118"/>
      <c r="CG41" s="22"/>
      <c r="CH41" s="22"/>
      <c r="CI41" s="22"/>
      <c r="CJ41" s="22"/>
      <c r="CK41" s="22"/>
      <c r="CL41" s="22"/>
      <c r="CM41" s="22"/>
      <c r="CN41" s="22"/>
      <c r="CO41" s="22"/>
      <c r="CP41" s="22"/>
      <c r="CQ41" s="22"/>
      <c r="CR41" s="22"/>
      <c r="CS41" s="22"/>
      <c r="CT41" s="22"/>
      <c r="CU41" s="22"/>
      <c r="CV41" s="117"/>
      <c r="CW41" s="22"/>
      <c r="CX41" s="20"/>
      <c r="CY41" s="22"/>
      <c r="CZ41" s="22"/>
      <c r="DA41" s="22"/>
      <c r="DB41" s="22"/>
      <c r="DC41" s="22"/>
      <c r="DD41" s="22"/>
      <c r="DE41" s="22"/>
      <c r="DF41" s="22"/>
      <c r="DG41" s="19"/>
      <c r="DH41" s="20"/>
      <c r="DI41" s="19"/>
      <c r="DJ41" s="22"/>
      <c r="DK41" s="22"/>
      <c r="DL41" s="22"/>
      <c r="DM41" s="22"/>
      <c r="DN41" s="22"/>
      <c r="DO41" s="22"/>
      <c r="DP41" s="20"/>
      <c r="DQ41" s="22"/>
      <c r="DR41" s="22"/>
      <c r="DS41" s="19"/>
      <c r="DT41" s="23"/>
      <c r="DU41" s="22"/>
      <c r="DV41" s="22"/>
      <c r="DW41" s="22"/>
      <c r="DX41" s="22"/>
      <c r="DY41" s="22"/>
      <c r="DZ41" s="19"/>
      <c r="EA41" s="23"/>
      <c r="EB41" s="19"/>
      <c r="EC41" s="19"/>
      <c r="ED41" s="19"/>
      <c r="EE41" s="19">
        <f t="shared" si="92"/>
        <v>36.512762210255438</v>
      </c>
      <c r="EF41" s="19">
        <f t="shared" si="93"/>
        <v>2.8930045120719488</v>
      </c>
      <c r="EG41" s="19">
        <f t="shared" si="94"/>
        <v>12.221675201875883</v>
      </c>
      <c r="EH41" s="19">
        <f t="shared" si="95"/>
        <v>12.631263735427121</v>
      </c>
      <c r="EI41" s="19">
        <f t="shared" si="96"/>
        <v>0.27407411166997409</v>
      </c>
      <c r="EJ41" s="19">
        <f t="shared" si="97"/>
        <v>6.2834027823597767</v>
      </c>
      <c r="EK41" s="19">
        <f t="shared" si="98"/>
        <v>17.967080653920526</v>
      </c>
      <c r="EL41" s="19">
        <f t="shared" si="99"/>
        <v>4.4866947169677243</v>
      </c>
      <c r="EM41" s="19">
        <f t="shared" si="100"/>
        <v>4.6389581123399317</v>
      </c>
      <c r="EN41" s="19">
        <f t="shared" si="101"/>
        <v>2.0910839631116542</v>
      </c>
      <c r="EO41" s="19">
        <f t="shared" si="102"/>
        <v>99.999999999999972</v>
      </c>
    </row>
    <row r="42" spans="1:146">
      <c r="A42" s="1" t="s">
        <v>45</v>
      </c>
      <c r="B42" s="1" t="s">
        <v>49</v>
      </c>
      <c r="C42" s="1">
        <v>1</v>
      </c>
      <c r="D42" s="1" t="s">
        <v>43</v>
      </c>
      <c r="E42" s="1" t="s">
        <v>50</v>
      </c>
      <c r="F42" s="2"/>
      <c r="G42" s="14">
        <v>39.340000000000003</v>
      </c>
      <c r="H42" s="14">
        <v>2.79</v>
      </c>
      <c r="I42" s="14">
        <v>12.06</v>
      </c>
      <c r="J42" s="14">
        <v>13.654400000000001</v>
      </c>
      <c r="K42" s="14">
        <v>0.41</v>
      </c>
      <c r="L42" s="14">
        <v>3.99</v>
      </c>
      <c r="M42" s="14">
        <v>13.45</v>
      </c>
      <c r="N42" s="14">
        <v>5.61</v>
      </c>
      <c r="O42" s="14">
        <v>5.55</v>
      </c>
      <c r="P42" s="14">
        <v>1.39</v>
      </c>
      <c r="Q42" s="14">
        <v>0.98</v>
      </c>
      <c r="R42" s="14">
        <v>0.3</v>
      </c>
      <c r="S42" s="15">
        <f t="shared" si="81"/>
        <v>99.224400000000003</v>
      </c>
      <c r="U42" s="86">
        <v>0.70479999999999998</v>
      </c>
      <c r="V42" s="86"/>
      <c r="W42" s="14"/>
      <c r="X42" s="14"/>
      <c r="Y42" s="14"/>
      <c r="Z42" s="14"/>
      <c r="AA42" s="14"/>
      <c r="AB42" s="14"/>
      <c r="AC42" s="14"/>
      <c r="AD42" s="14"/>
      <c r="AF42" s="19">
        <f t="shared" si="82"/>
        <v>0.40511723560810958</v>
      </c>
      <c r="AG42" s="20">
        <f t="shared" si="83"/>
        <v>16726.05</v>
      </c>
      <c r="AH42" s="20">
        <f t="shared" si="84"/>
        <v>46076.1</v>
      </c>
      <c r="AI42" s="20">
        <f t="shared" si="77"/>
        <v>6065.9599999999991</v>
      </c>
      <c r="AJ42" s="19">
        <f t="shared" si="85"/>
        <v>11.16</v>
      </c>
      <c r="AK42" s="19">
        <f t="shared" si="86"/>
        <v>0.98930481283422456</v>
      </c>
      <c r="AL42" s="19">
        <f t="shared" si="87"/>
        <v>1.0108108108108109</v>
      </c>
      <c r="AM42" s="19">
        <f t="shared" si="88"/>
        <v>1.115257048092869</v>
      </c>
      <c r="AN42" s="19">
        <f t="shared" si="89"/>
        <v>1.2633424494302339</v>
      </c>
      <c r="AO42" s="118">
        <f t="shared" si="9"/>
        <v>-925.41283234030186</v>
      </c>
      <c r="AP42" s="118">
        <f t="shared" si="10"/>
        <v>1907.074538992458</v>
      </c>
      <c r="AQ42" s="19">
        <f t="shared" si="11"/>
        <v>0.30385806572460433</v>
      </c>
      <c r="AR42" s="19">
        <f t="shared" si="12"/>
        <v>1.2633424494302339</v>
      </c>
      <c r="AS42" s="118">
        <f t="shared" si="13"/>
        <v>-925.41283234030186</v>
      </c>
      <c r="AT42" s="118">
        <f t="shared" si="14"/>
        <v>1907.074538992458</v>
      </c>
      <c r="AU42" s="14">
        <f t="shared" si="90"/>
        <v>0.14107778342653784</v>
      </c>
      <c r="AV42" s="14">
        <f t="shared" si="91"/>
        <v>0.49810924147838292</v>
      </c>
      <c r="AX42" s="118">
        <v>135</v>
      </c>
      <c r="AY42" s="118">
        <v>3457</v>
      </c>
      <c r="AZ42" s="118"/>
      <c r="BB42" s="118"/>
      <c r="BC42" s="118"/>
      <c r="BE42" s="118"/>
      <c r="BF42" s="118"/>
      <c r="BG42" s="118"/>
      <c r="BH42" s="118"/>
      <c r="BI42" s="118"/>
      <c r="BJ42" s="118">
        <v>326</v>
      </c>
      <c r="BK42" s="118">
        <v>1124</v>
      </c>
      <c r="BL42" s="117"/>
      <c r="BM42" s="117"/>
      <c r="BN42" s="117"/>
      <c r="BO42" s="117"/>
      <c r="BP42" s="117"/>
      <c r="BQ42" s="117"/>
      <c r="BS42" s="14"/>
      <c r="BT42" s="117"/>
      <c r="BU42" s="14"/>
      <c r="BV42" s="14"/>
      <c r="BW42" s="14"/>
      <c r="BX42" s="14"/>
      <c r="BY42" s="14"/>
      <c r="BZ42" s="14"/>
      <c r="CA42" s="14"/>
      <c r="CB42" s="117"/>
      <c r="CC42" s="117"/>
      <c r="CD42" s="118"/>
      <c r="CE42" s="118"/>
      <c r="CF42" s="118"/>
      <c r="CG42" s="22"/>
      <c r="CH42" s="22"/>
      <c r="CI42" s="22"/>
      <c r="CJ42" s="22"/>
      <c r="CK42" s="22"/>
      <c r="CL42" s="22"/>
      <c r="CM42" s="22"/>
      <c r="CN42" s="22"/>
      <c r="CO42" s="22"/>
      <c r="CP42" s="22"/>
      <c r="CQ42" s="22"/>
      <c r="CR42" s="22"/>
      <c r="CS42" s="22"/>
      <c r="CT42" s="22"/>
      <c r="CU42" s="22"/>
      <c r="CV42" s="117"/>
      <c r="CW42" s="22"/>
      <c r="CX42" s="20">
        <f t="shared" ref="CX42:CX55" si="103">AG42/BK42</f>
        <v>14.88082740213523</v>
      </c>
      <c r="CY42" s="22"/>
      <c r="CZ42" s="22"/>
      <c r="DA42" s="22"/>
      <c r="DB42" s="22">
        <f t="shared" ref="DB42:DB55" si="104">BJ42/BK42</f>
        <v>0.29003558718861211</v>
      </c>
      <c r="DC42" s="22"/>
      <c r="DD42" s="22"/>
      <c r="DE42" s="22"/>
      <c r="DF42" s="22"/>
      <c r="DG42" s="19"/>
      <c r="DH42" s="20"/>
      <c r="DI42" s="19"/>
      <c r="DJ42" s="22"/>
      <c r="DK42" s="22"/>
      <c r="DL42" s="22"/>
      <c r="DM42" s="22"/>
      <c r="DN42" s="22"/>
      <c r="DO42" s="22"/>
      <c r="DP42" s="20"/>
      <c r="DQ42" s="22"/>
      <c r="DR42" s="22"/>
      <c r="DS42" s="19"/>
      <c r="DT42" s="23">
        <f t="shared" ref="DT42:DT50" si="105">1/AY42</f>
        <v>2.892681515765114E-4</v>
      </c>
      <c r="DU42" s="22"/>
      <c r="DV42" s="22"/>
      <c r="DW42" s="22"/>
      <c r="DX42" s="22">
        <f t="shared" ref="DX42:DX55" si="106">BK42*100/BJ42</f>
        <v>344.78527607361963</v>
      </c>
      <c r="DY42" s="22"/>
      <c r="DZ42" s="19">
        <f t="shared" ref="DZ42:DZ50" si="107">EI42*100/AY42</f>
        <v>1.2071929000163847E-2</v>
      </c>
      <c r="EA42" s="23"/>
      <c r="EB42" s="19"/>
      <c r="EC42" s="19"/>
      <c r="ED42" s="19"/>
      <c r="EE42" s="19">
        <f t="shared" si="92"/>
        <v>40.04299481700739</v>
      </c>
      <c r="EF42" s="19">
        <f t="shared" si="93"/>
        <v>2.8398565210841533</v>
      </c>
      <c r="EG42" s="19">
        <f t="shared" si="94"/>
        <v>12.275508833073438</v>
      </c>
      <c r="EH42" s="19">
        <f t="shared" si="95"/>
        <v>13.898400315946763</v>
      </c>
      <c r="EI42" s="19">
        <f t="shared" si="96"/>
        <v>0.41732658553566415</v>
      </c>
      <c r="EJ42" s="19">
        <f t="shared" si="97"/>
        <v>4.0613001860665854</v>
      </c>
      <c r="EK42" s="19">
        <f t="shared" si="98"/>
        <v>13.690347745011421</v>
      </c>
      <c r="EL42" s="19">
        <f t="shared" si="99"/>
        <v>5.7102491337928676</v>
      </c>
      <c r="EM42" s="19">
        <f t="shared" si="100"/>
        <v>5.6491769505437457</v>
      </c>
      <c r="EN42" s="19">
        <f t="shared" si="101"/>
        <v>1.4148389119379832</v>
      </c>
      <c r="EO42" s="19">
        <f t="shared" si="102"/>
        <v>100.00000000000001</v>
      </c>
    </row>
    <row r="43" spans="1:146">
      <c r="A43" s="1" t="s">
        <v>45</v>
      </c>
      <c r="B43" s="1" t="s">
        <v>49</v>
      </c>
      <c r="C43" s="1">
        <v>1</v>
      </c>
      <c r="D43" s="1" t="s">
        <v>43</v>
      </c>
      <c r="E43" s="1" t="s">
        <v>48</v>
      </c>
      <c r="F43" s="2"/>
      <c r="G43" s="14">
        <v>37.65</v>
      </c>
      <c r="H43" s="14">
        <v>3.57</v>
      </c>
      <c r="I43" s="14">
        <v>11.95</v>
      </c>
      <c r="J43" s="14">
        <v>14.620000000000001</v>
      </c>
      <c r="K43" s="14">
        <v>0.27</v>
      </c>
      <c r="L43" s="14">
        <v>5.05</v>
      </c>
      <c r="M43" s="14">
        <v>13.68</v>
      </c>
      <c r="N43" s="14">
        <v>4.92</v>
      </c>
      <c r="O43" s="14">
        <v>5.0199999999999996</v>
      </c>
      <c r="P43" s="14">
        <v>1.35</v>
      </c>
      <c r="Q43" s="14">
        <v>1.71</v>
      </c>
      <c r="R43" s="14"/>
      <c r="S43" s="15">
        <f t="shared" si="81"/>
        <v>99.789999999999978</v>
      </c>
      <c r="U43" s="86">
        <v>0.70509999999999995</v>
      </c>
      <c r="V43" s="86"/>
      <c r="W43" s="14"/>
      <c r="X43" s="14"/>
      <c r="Y43" s="14"/>
      <c r="Z43" s="14"/>
      <c r="AA43" s="14"/>
      <c r="AB43" s="14"/>
      <c r="AC43" s="14"/>
      <c r="AD43" s="14"/>
      <c r="AF43" s="19">
        <f t="shared" si="82"/>
        <v>0.44598177791460297</v>
      </c>
      <c r="AG43" s="20">
        <f t="shared" si="83"/>
        <v>21402.149999999998</v>
      </c>
      <c r="AH43" s="20">
        <f t="shared" si="84"/>
        <v>41676.039999999994</v>
      </c>
      <c r="AI43" s="20">
        <f t="shared" si="77"/>
        <v>5891.4000000000005</v>
      </c>
      <c r="AJ43" s="19">
        <f t="shared" si="85"/>
        <v>9.94</v>
      </c>
      <c r="AK43" s="19">
        <f t="shared" si="86"/>
        <v>1.0203252032520325</v>
      </c>
      <c r="AL43" s="19">
        <f t="shared" si="87"/>
        <v>0.98007968127490042</v>
      </c>
      <c r="AM43" s="19">
        <f t="shared" si="88"/>
        <v>1.1447698744769876</v>
      </c>
      <c r="AN43" s="19">
        <f t="shared" si="89"/>
        <v>1.1319805320737044</v>
      </c>
      <c r="AO43" s="118">
        <f t="shared" si="9"/>
        <v>-698.01304101791243</v>
      </c>
      <c r="AP43" s="118">
        <f t="shared" si="10"/>
        <v>1986.7958725719336</v>
      </c>
      <c r="AQ43" s="19">
        <f t="shared" si="11"/>
        <v>0.31120595950487917</v>
      </c>
      <c r="AR43" s="19">
        <f t="shared" si="12"/>
        <v>1.1319805320737044</v>
      </c>
      <c r="AS43" s="118">
        <f t="shared" si="13"/>
        <v>-698.01304101791243</v>
      </c>
      <c r="AT43" s="118">
        <f t="shared" si="14"/>
        <v>1986.7958725719336</v>
      </c>
      <c r="AU43" s="14">
        <f t="shared" si="90"/>
        <v>0.13333333333333333</v>
      </c>
      <c r="AV43" s="14">
        <f t="shared" si="91"/>
        <v>0.45468930167275179</v>
      </c>
      <c r="AX43" s="118">
        <v>150</v>
      </c>
      <c r="AY43" s="118">
        <v>2358</v>
      </c>
      <c r="AZ43" s="118"/>
      <c r="BB43" s="118"/>
      <c r="BC43" s="118"/>
      <c r="BE43" s="118"/>
      <c r="BF43" s="118"/>
      <c r="BG43" s="118"/>
      <c r="BH43" s="118"/>
      <c r="BI43" s="118"/>
      <c r="BJ43" s="118">
        <v>680</v>
      </c>
      <c r="BK43" s="118">
        <v>277</v>
      </c>
      <c r="BL43" s="117"/>
      <c r="BM43" s="117"/>
      <c r="BN43" s="117"/>
      <c r="BO43" s="117"/>
      <c r="BP43" s="117"/>
      <c r="BQ43" s="117"/>
      <c r="BS43" s="14"/>
      <c r="BT43" s="117"/>
      <c r="BU43" s="14"/>
      <c r="BV43" s="14"/>
      <c r="BW43" s="14"/>
      <c r="BX43" s="14"/>
      <c r="BY43" s="14"/>
      <c r="BZ43" s="14"/>
      <c r="CA43" s="14"/>
      <c r="CB43" s="117"/>
      <c r="CC43" s="117"/>
      <c r="CD43" s="118"/>
      <c r="CE43" s="118"/>
      <c r="CF43" s="118"/>
      <c r="CG43" s="22"/>
      <c r="CH43" s="22"/>
      <c r="CI43" s="22"/>
      <c r="CJ43" s="22"/>
      <c r="CK43" s="22"/>
      <c r="CL43" s="22"/>
      <c r="CM43" s="22"/>
      <c r="CN43" s="22"/>
      <c r="CO43" s="22"/>
      <c r="CP43" s="22"/>
      <c r="CQ43" s="22"/>
      <c r="CR43" s="22"/>
      <c r="CS43" s="22"/>
      <c r="CT43" s="22"/>
      <c r="CU43" s="22"/>
      <c r="CV43" s="117"/>
      <c r="CW43" s="22"/>
      <c r="CX43" s="20">
        <f t="shared" si="103"/>
        <v>77.264079422382665</v>
      </c>
      <c r="CY43" s="22"/>
      <c r="CZ43" s="22"/>
      <c r="DA43" s="22"/>
      <c r="DB43" s="22">
        <f t="shared" si="104"/>
        <v>2.4548736462093861</v>
      </c>
      <c r="DC43" s="22"/>
      <c r="DD43" s="22"/>
      <c r="DE43" s="22"/>
      <c r="DF43" s="22"/>
      <c r="DG43" s="19"/>
      <c r="DH43" s="20"/>
      <c r="DI43" s="19"/>
      <c r="DJ43" s="22"/>
      <c r="DK43" s="22"/>
      <c r="DL43" s="22"/>
      <c r="DM43" s="22"/>
      <c r="DN43" s="22"/>
      <c r="DO43" s="22"/>
      <c r="DP43" s="20"/>
      <c r="DQ43" s="22"/>
      <c r="DR43" s="22"/>
      <c r="DS43" s="19"/>
      <c r="DT43" s="23">
        <f t="shared" si="105"/>
        <v>4.2408821034775233E-4</v>
      </c>
      <c r="DU43" s="22"/>
      <c r="DV43" s="22"/>
      <c r="DW43" s="22"/>
      <c r="DX43" s="22">
        <f t="shared" si="106"/>
        <v>40.735294117647058</v>
      </c>
      <c r="DY43" s="22"/>
      <c r="DZ43" s="19">
        <f t="shared" si="107"/>
        <v>1.1674532707370835E-2</v>
      </c>
      <c r="EA43" s="23"/>
      <c r="EB43" s="19"/>
      <c r="EC43" s="19"/>
      <c r="ED43" s="19"/>
      <c r="EE43" s="19">
        <f t="shared" si="92"/>
        <v>38.387030995106045</v>
      </c>
      <c r="EF43" s="19">
        <f t="shared" si="93"/>
        <v>3.6398858075040788</v>
      </c>
      <c r="EG43" s="19">
        <f t="shared" si="94"/>
        <v>12.183931484502448</v>
      </c>
      <c r="EH43" s="19">
        <f t="shared" si="95"/>
        <v>14.906199021207181</v>
      </c>
      <c r="EI43" s="19">
        <f t="shared" si="96"/>
        <v>0.27528548123980429</v>
      </c>
      <c r="EJ43" s="19">
        <f t="shared" si="97"/>
        <v>5.148858075040784</v>
      </c>
      <c r="EK43" s="19">
        <f t="shared" si="98"/>
        <v>13.947797716150085</v>
      </c>
      <c r="EL43" s="19">
        <f t="shared" si="99"/>
        <v>5.0163132137030999</v>
      </c>
      <c r="EM43" s="19">
        <f t="shared" si="100"/>
        <v>5.1182707993474716</v>
      </c>
      <c r="EN43" s="19">
        <f t="shared" si="101"/>
        <v>1.3764274061990214</v>
      </c>
      <c r="EO43" s="19">
        <f t="shared" si="102"/>
        <v>100.00000000000003</v>
      </c>
    </row>
    <row r="44" spans="1:146">
      <c r="A44" s="1" t="s">
        <v>45</v>
      </c>
      <c r="B44" s="1" t="s">
        <v>49</v>
      </c>
      <c r="C44" s="1">
        <v>1</v>
      </c>
      <c r="D44" s="1" t="s">
        <v>43</v>
      </c>
      <c r="E44" s="1" t="s">
        <v>48</v>
      </c>
      <c r="F44" s="2"/>
      <c r="G44" s="14">
        <v>36.56</v>
      </c>
      <c r="H44" s="14">
        <v>3.13</v>
      </c>
      <c r="I44" s="14">
        <v>12.85</v>
      </c>
      <c r="J44" s="14">
        <v>12.681000000000001</v>
      </c>
      <c r="K44" s="14">
        <v>0.28000000000000003</v>
      </c>
      <c r="L44" s="14">
        <v>5.12</v>
      </c>
      <c r="M44" s="14">
        <v>14.56</v>
      </c>
      <c r="N44" s="14">
        <v>5.38</v>
      </c>
      <c r="O44" s="14">
        <v>5.8</v>
      </c>
      <c r="P44" s="14">
        <v>2.31</v>
      </c>
      <c r="Q44" s="14">
        <v>0.65</v>
      </c>
      <c r="R44" s="14">
        <v>0.85</v>
      </c>
      <c r="S44" s="15">
        <f t="shared" si="81"/>
        <v>99.321000000000012</v>
      </c>
      <c r="U44" s="86">
        <v>0.70509999999999995</v>
      </c>
      <c r="V44" s="86"/>
      <c r="W44" s="14"/>
      <c r="X44" s="14"/>
      <c r="Y44" s="14"/>
      <c r="Z44" s="14"/>
      <c r="AA44" s="14"/>
      <c r="AB44" s="14"/>
      <c r="AC44" s="14"/>
      <c r="AD44" s="14"/>
      <c r="AF44" s="19">
        <f t="shared" si="82"/>
        <v>0.48478778538341544</v>
      </c>
      <c r="AG44" s="20">
        <f t="shared" si="83"/>
        <v>18764.349999999999</v>
      </c>
      <c r="AH44" s="20">
        <f t="shared" si="84"/>
        <v>48151.6</v>
      </c>
      <c r="AI44" s="20">
        <f t="shared" si="77"/>
        <v>10080.84</v>
      </c>
      <c r="AJ44" s="19">
        <f t="shared" si="85"/>
        <v>11.18</v>
      </c>
      <c r="AK44" s="19">
        <f t="shared" si="86"/>
        <v>1.0780669144981412</v>
      </c>
      <c r="AL44" s="19">
        <f t="shared" si="87"/>
        <v>0.92758620689655169</v>
      </c>
      <c r="AM44" s="19">
        <f t="shared" si="88"/>
        <v>1.1330739299610895</v>
      </c>
      <c r="AN44" s="19">
        <f t="shared" si="89"/>
        <v>1.1772874442352366</v>
      </c>
      <c r="AO44" s="118">
        <f t="shared" si="9"/>
        <v>-1081.698497058471</v>
      </c>
      <c r="AP44" s="118">
        <f t="shared" si="10"/>
        <v>2091.727591425225</v>
      </c>
      <c r="AQ44" s="19">
        <f t="shared" si="11"/>
        <v>0.30889477411716393</v>
      </c>
      <c r="AR44" s="19">
        <f t="shared" si="12"/>
        <v>1.1772874442352366</v>
      </c>
      <c r="AS44" s="118">
        <f t="shared" si="13"/>
        <v>-1081.698497058471</v>
      </c>
      <c r="AT44" s="118">
        <f t="shared" si="14"/>
        <v>2091.727591425225</v>
      </c>
      <c r="AU44" s="14">
        <f t="shared" si="90"/>
        <v>0.1586433260393873</v>
      </c>
      <c r="AV44" s="14">
        <f t="shared" si="91"/>
        <v>0.48854411922641616</v>
      </c>
      <c r="AX44" s="118">
        <v>134</v>
      </c>
      <c r="AY44" s="118">
        <v>2771</v>
      </c>
      <c r="AZ44" s="118"/>
      <c r="BB44" s="118"/>
      <c r="BC44" s="118"/>
      <c r="BE44" s="118"/>
      <c r="BF44" s="118"/>
      <c r="BG44" s="118"/>
      <c r="BH44" s="118"/>
      <c r="BI44" s="118"/>
      <c r="BJ44" s="118">
        <v>679</v>
      </c>
      <c r="BK44" s="118">
        <v>280</v>
      </c>
      <c r="BL44" s="117"/>
      <c r="BM44" s="117"/>
      <c r="BN44" s="117"/>
      <c r="BO44" s="117"/>
      <c r="BP44" s="117"/>
      <c r="BQ44" s="117"/>
      <c r="BS44" s="14"/>
      <c r="BT44" s="117"/>
      <c r="BU44" s="14"/>
      <c r="BV44" s="14"/>
      <c r="BW44" s="14"/>
      <c r="BX44" s="14"/>
      <c r="BY44" s="14"/>
      <c r="BZ44" s="14"/>
      <c r="CA44" s="14"/>
      <c r="CB44" s="117"/>
      <c r="CC44" s="117"/>
      <c r="CD44" s="118"/>
      <c r="CE44" s="118"/>
      <c r="CF44" s="118"/>
      <c r="CG44" s="22"/>
      <c r="CH44" s="22"/>
      <c r="CI44" s="22"/>
      <c r="CJ44" s="22"/>
      <c r="CK44" s="22"/>
      <c r="CL44" s="22"/>
      <c r="CM44" s="22"/>
      <c r="CN44" s="22"/>
      <c r="CO44" s="22"/>
      <c r="CP44" s="22"/>
      <c r="CQ44" s="22"/>
      <c r="CR44" s="22"/>
      <c r="CS44" s="22"/>
      <c r="CT44" s="22"/>
      <c r="CU44" s="22"/>
      <c r="CV44" s="117"/>
      <c r="CW44" s="22"/>
      <c r="CX44" s="20">
        <f t="shared" si="103"/>
        <v>67.015535714285704</v>
      </c>
      <c r="CY44" s="22"/>
      <c r="CZ44" s="22"/>
      <c r="DA44" s="22"/>
      <c r="DB44" s="22">
        <f t="shared" si="104"/>
        <v>2.4249999999999998</v>
      </c>
      <c r="DC44" s="22"/>
      <c r="DD44" s="22"/>
      <c r="DE44" s="22"/>
      <c r="DF44" s="22"/>
      <c r="DG44" s="19"/>
      <c r="DH44" s="20"/>
      <c r="DI44" s="19"/>
      <c r="DJ44" s="22"/>
      <c r="DK44" s="22"/>
      <c r="DL44" s="22"/>
      <c r="DM44" s="22"/>
      <c r="DN44" s="22"/>
      <c r="DO44" s="22"/>
      <c r="DP44" s="20"/>
      <c r="DQ44" s="22"/>
      <c r="DR44" s="22"/>
      <c r="DS44" s="19"/>
      <c r="DT44" s="23">
        <f t="shared" si="105"/>
        <v>3.6088054853843375E-4</v>
      </c>
      <c r="DU44" s="22"/>
      <c r="DV44" s="22"/>
      <c r="DW44" s="22"/>
      <c r="DX44" s="22">
        <f t="shared" si="106"/>
        <v>41.237113402061858</v>
      </c>
      <c r="DY44" s="22"/>
      <c r="DZ44" s="19">
        <f t="shared" si="107"/>
        <v>1.0240754992932215E-2</v>
      </c>
      <c r="EA44" s="23"/>
      <c r="EB44" s="19"/>
      <c r="EC44" s="19"/>
      <c r="ED44" s="19"/>
      <c r="EE44" s="19">
        <f t="shared" si="92"/>
        <v>37.052426751527804</v>
      </c>
      <c r="EF44" s="19">
        <f t="shared" si="93"/>
        <v>3.1721579795481953</v>
      </c>
      <c r="EG44" s="19">
        <f t="shared" si="94"/>
        <v>13.02307668919946</v>
      </c>
      <c r="EH44" s="19">
        <f t="shared" si="95"/>
        <v>12.851800427683919</v>
      </c>
      <c r="EI44" s="19">
        <f t="shared" si="96"/>
        <v>0.28377132085415169</v>
      </c>
      <c r="EJ44" s="19">
        <f t="shared" si="97"/>
        <v>5.188961295618773</v>
      </c>
      <c r="EK44" s="19">
        <f t="shared" si="98"/>
        <v>14.756108684415887</v>
      </c>
      <c r="EL44" s="19">
        <f t="shared" si="99"/>
        <v>5.4524632364119139</v>
      </c>
      <c r="EM44" s="19">
        <f t="shared" si="100"/>
        <v>5.8781202176931417</v>
      </c>
      <c r="EN44" s="19">
        <f t="shared" si="101"/>
        <v>2.341113397046751</v>
      </c>
      <c r="EO44" s="19">
        <f t="shared" si="102"/>
        <v>100.00000000000001</v>
      </c>
    </row>
    <row r="45" spans="1:146">
      <c r="A45" s="1" t="s">
        <v>45</v>
      </c>
      <c r="B45" s="1" t="s">
        <v>47</v>
      </c>
      <c r="C45" s="1">
        <v>1</v>
      </c>
      <c r="D45" s="1" t="s">
        <v>43</v>
      </c>
      <c r="E45" s="1" t="s">
        <v>46</v>
      </c>
      <c r="F45" s="2"/>
      <c r="G45" s="14">
        <v>38.07</v>
      </c>
      <c r="H45" s="14">
        <v>2.6469999999999998</v>
      </c>
      <c r="I45" s="14">
        <v>13.31</v>
      </c>
      <c r="J45" s="14">
        <v>12.37</v>
      </c>
      <c r="K45" s="14">
        <v>0.34399999999999997</v>
      </c>
      <c r="L45" s="14">
        <v>4.04</v>
      </c>
      <c r="M45" s="14">
        <v>13.73</v>
      </c>
      <c r="N45" s="14">
        <v>6.41</v>
      </c>
      <c r="O45" s="14">
        <v>5.72</v>
      </c>
      <c r="P45" s="14">
        <v>1.44</v>
      </c>
      <c r="Q45" s="14">
        <v>1.69</v>
      </c>
      <c r="R45" s="14"/>
      <c r="S45" s="15">
        <f t="shared" si="81"/>
        <v>99.771000000000001</v>
      </c>
      <c r="U45" s="86"/>
      <c r="V45" s="86"/>
      <c r="W45" s="14"/>
      <c r="X45" s="14"/>
      <c r="Y45" s="14"/>
      <c r="Z45" s="14"/>
      <c r="AA45" s="14"/>
      <c r="AB45" s="14"/>
      <c r="AC45" s="14"/>
      <c r="AD45" s="14"/>
      <c r="AF45" s="19">
        <f t="shared" si="82"/>
        <v>0.43218381156302432</v>
      </c>
      <c r="AG45" s="20">
        <f t="shared" si="83"/>
        <v>15868.764999999999</v>
      </c>
      <c r="AH45" s="20">
        <f t="shared" si="84"/>
        <v>47487.439999999995</v>
      </c>
      <c r="AI45" s="20">
        <f t="shared" si="77"/>
        <v>6284.16</v>
      </c>
      <c r="AJ45" s="19">
        <f t="shared" si="85"/>
        <v>12.129999999999999</v>
      </c>
      <c r="AK45" s="19">
        <f t="shared" si="86"/>
        <v>0.89235569422776906</v>
      </c>
      <c r="AL45" s="19">
        <f t="shared" si="87"/>
        <v>1.1206293706293706</v>
      </c>
      <c r="AM45" s="19">
        <f t="shared" si="88"/>
        <v>1.0315552216378661</v>
      </c>
      <c r="AN45" s="19">
        <f t="shared" si="89"/>
        <v>1.2573968157657864</v>
      </c>
      <c r="AO45" s="118">
        <f>1000*(4*(DY45/60.08)-11*(EF45/61.98*2+EG45/94.2*2)-2*(EB45/159.69+DZ45/79.87))</f>
        <v>-4128.5635435943686</v>
      </c>
      <c r="AP45" s="118">
        <f>1000*(6*(EE45/56.08)+2*(ED45/40.3)+EA45/101.96*2)</f>
        <v>4152.8021156812356</v>
      </c>
      <c r="AR45" s="118">
        <v>184</v>
      </c>
      <c r="AS45" s="118">
        <v>3200</v>
      </c>
      <c r="AT45" s="118">
        <v>2438</v>
      </c>
      <c r="AU45" s="14">
        <f t="shared" si="90"/>
        <v>0.15024954032046231</v>
      </c>
      <c r="AV45" s="14">
        <f t="shared" si="91"/>
        <v>0.46515414714604053</v>
      </c>
      <c r="AW45" s="14"/>
      <c r="AX45" s="118">
        <v>184</v>
      </c>
      <c r="AY45" s="118">
        <v>3200</v>
      </c>
      <c r="AZ45" s="118">
        <v>2438</v>
      </c>
      <c r="BB45" s="118">
        <v>7.8</v>
      </c>
      <c r="BC45" s="118">
        <v>417</v>
      </c>
      <c r="BD45" s="118">
        <v>21</v>
      </c>
      <c r="BE45" s="118">
        <v>59</v>
      </c>
      <c r="BF45" s="118">
        <v>19.2</v>
      </c>
      <c r="BG45" s="118">
        <v>117</v>
      </c>
      <c r="BH45" s="118">
        <v>130</v>
      </c>
      <c r="BI45" s="118">
        <v>82</v>
      </c>
      <c r="BJ45" s="118">
        <v>588</v>
      </c>
      <c r="BK45" s="118">
        <v>383</v>
      </c>
      <c r="BL45" s="117">
        <v>8.5</v>
      </c>
      <c r="BM45" s="117">
        <v>18.8</v>
      </c>
      <c r="BN45" s="117">
        <v>240</v>
      </c>
      <c r="BO45" s="117">
        <v>409</v>
      </c>
      <c r="BP45" s="117">
        <v>43</v>
      </c>
      <c r="BQ45" s="117">
        <v>140</v>
      </c>
      <c r="BR45" s="14">
        <v>19.7</v>
      </c>
      <c r="BS45" s="14">
        <v>5.8</v>
      </c>
      <c r="BT45" s="117">
        <v>14.6</v>
      </c>
      <c r="BU45" s="14"/>
      <c r="BV45" s="14">
        <v>11.8</v>
      </c>
      <c r="BW45" s="14">
        <v>2.4</v>
      </c>
      <c r="BX45" s="14">
        <v>6.4</v>
      </c>
      <c r="BY45" s="14"/>
      <c r="BZ45" s="14">
        <v>6</v>
      </c>
      <c r="CA45" s="14">
        <v>0.87</v>
      </c>
      <c r="CB45" s="117">
        <v>8.19</v>
      </c>
      <c r="CC45" s="117">
        <v>31.6</v>
      </c>
      <c r="CD45" s="118">
        <v>21.6</v>
      </c>
      <c r="CG45" s="22">
        <f t="shared" ref="CG45:CG50" si="108">BN45/0.31</f>
        <v>774.19354838709683</v>
      </c>
      <c r="CH45" s="22">
        <f t="shared" ref="CH45:CH50" si="109">BO45/0.808</f>
        <v>506.18811881188117</v>
      </c>
      <c r="CI45" s="22">
        <f t="shared" ref="CI45:CI50" si="110">BP45/0.122</f>
        <v>352.45901639344265</v>
      </c>
      <c r="CJ45" s="22">
        <f t="shared" ref="CJ45:CJ50" si="111">BQ45/0.6</f>
        <v>233.33333333333334</v>
      </c>
      <c r="CK45" s="22">
        <f>BS45/0.195</f>
        <v>29.743589743589741</v>
      </c>
      <c r="CL45" s="22">
        <f>BR45/0.074</f>
        <v>266.2162162162162</v>
      </c>
      <c r="CM45" s="22">
        <f t="shared" ref="CM45:CM50" si="112">BT45/0.259</f>
        <v>56.37065637065637</v>
      </c>
      <c r="CN45" s="22">
        <f t="shared" ref="CN45:CN50" si="113">BU45/0.0474</f>
        <v>0</v>
      </c>
      <c r="CO45" s="22">
        <f t="shared" ref="CO45:CO50" si="114">BV45/0.322</f>
        <v>36.645962732919259</v>
      </c>
      <c r="CP45" s="22">
        <f t="shared" ref="CP45:CP50" si="115">BW45/0.0718</f>
        <v>33.426183844011142</v>
      </c>
      <c r="CQ45" s="22">
        <f t="shared" ref="CQ45:CQ50" si="116">BX45/0.21</f>
        <v>30.476190476190478</v>
      </c>
      <c r="CR45" s="22">
        <f t="shared" ref="CR45:CR50" si="117">BY45/0.0324</f>
        <v>0</v>
      </c>
      <c r="CS45" s="22">
        <f t="shared" ref="CS45:CS50" si="118">BZ45/0.209</f>
        <v>28.708133971291868</v>
      </c>
      <c r="CT45" s="22">
        <f t="shared" ref="CT45:CT50" si="119">CA45/0.032</f>
        <v>27.1875</v>
      </c>
      <c r="CU45" s="22">
        <f t="shared" ref="CU45:CU50" si="120">AZ45/BK45</f>
        <v>6.3655352480417751</v>
      </c>
      <c r="CV45" s="117">
        <f t="shared" ref="CV45:CV50" si="121">AZ45/BN45</f>
        <v>10.158333333333333</v>
      </c>
      <c r="CW45" s="22">
        <f t="shared" ref="CW45:CW50" si="122">BN45/BK45</f>
        <v>0.62663185378590081</v>
      </c>
      <c r="CX45" s="20">
        <f t="shared" si="103"/>
        <v>41.432806788511748</v>
      </c>
      <c r="CY45" s="22"/>
      <c r="CZ45" s="22"/>
      <c r="DA45" s="22">
        <f>AX45/BS45</f>
        <v>31.724137931034484</v>
      </c>
      <c r="DB45" s="22">
        <f t="shared" si="104"/>
        <v>1.5352480417754568</v>
      </c>
      <c r="DC45" s="22"/>
      <c r="DD45" s="22"/>
      <c r="DE45" s="22">
        <f t="shared" ref="DE45:DE50" si="123">BM45/BZ45</f>
        <v>3.1333333333333333</v>
      </c>
      <c r="DF45" s="22"/>
      <c r="DG45" s="19">
        <f t="shared" ref="DG45:DG50" si="124">BK45/BI45</f>
        <v>4.6707317073170733</v>
      </c>
      <c r="DH45" s="20">
        <f t="shared" ref="DH45:DH50" si="125">AH45/BN45</f>
        <v>197.86433333333332</v>
      </c>
      <c r="DI45" s="19"/>
      <c r="DJ45" s="22"/>
      <c r="DK45" s="22"/>
      <c r="DL45" s="22">
        <f t="shared" ref="DL45:DL50" si="126">CG45/CK45</f>
        <v>26.028921023359292</v>
      </c>
      <c r="DM45" s="22">
        <f t="shared" ref="DM45:DM50" si="127">BN45/BZ45</f>
        <v>40</v>
      </c>
      <c r="DN45" s="22">
        <f>BS45/BZ45</f>
        <v>0.96666666666666667</v>
      </c>
      <c r="DO45" s="22"/>
      <c r="DP45" s="20">
        <f t="shared" ref="DP45:DP50" si="128">AY45/BZ45</f>
        <v>533.33333333333337</v>
      </c>
      <c r="DQ45" s="22"/>
      <c r="DR45" s="22">
        <f>AY45/(((BS45/0.195)*(BT45/0.259))^0.5)</f>
        <v>78.149596742078316</v>
      </c>
      <c r="DS45" s="19">
        <f>(BR45/0.074)/(((BS45/0.195)*(BT45/0.259))^0.5)</f>
        <v>6.5014656073435075</v>
      </c>
      <c r="DT45" s="23">
        <f t="shared" si="105"/>
        <v>3.1250000000000001E-4</v>
      </c>
      <c r="DU45" s="22">
        <f t="shared" ref="DU45:DU50" si="129">BJ45/BI45</f>
        <v>7.1707317073170733</v>
      </c>
      <c r="DV45" s="22">
        <f>BK45/BM45</f>
        <v>20.372340425531913</v>
      </c>
      <c r="DW45" s="22">
        <f t="shared" ref="DW45:DW50" si="130">1.74+LOG(BK45/BI45)-1.92*LOG(BJ45/BI45)</f>
        <v>0.76670305209545608</v>
      </c>
      <c r="DX45" s="22">
        <f t="shared" si="106"/>
        <v>65.136054421768705</v>
      </c>
      <c r="DY45" s="22"/>
      <c r="DZ45" s="19">
        <f t="shared" si="107"/>
        <v>1.096032870790469E-2</v>
      </c>
      <c r="EA45" s="23"/>
      <c r="EB45" s="19">
        <f t="shared" ref="EB45:EB50" si="131">CC45/BK45</f>
        <v>8.250652741514361E-2</v>
      </c>
      <c r="EC45" s="19"/>
      <c r="ED45" s="19"/>
      <c r="EE45" s="19">
        <f t="shared" si="92"/>
        <v>38.814857107900615</v>
      </c>
      <c r="EF45" s="19">
        <f t="shared" si="93"/>
        <v>2.6987897757975547</v>
      </c>
      <c r="EG45" s="19">
        <f t="shared" si="94"/>
        <v>13.570416288577809</v>
      </c>
      <c r="EH45" s="19">
        <f t="shared" si="95"/>
        <v>12.612024755049397</v>
      </c>
      <c r="EI45" s="19">
        <f t="shared" si="96"/>
        <v>0.35073051865295007</v>
      </c>
      <c r="EJ45" s="19">
        <f t="shared" si="97"/>
        <v>4.1190444632497627</v>
      </c>
      <c r="EK45" s="19">
        <f t="shared" si="98"/>
        <v>13.99863378228199</v>
      </c>
      <c r="EL45" s="19">
        <f t="shared" si="99"/>
        <v>6.5354146062947969</v>
      </c>
      <c r="EM45" s="19">
        <f t="shared" si="100"/>
        <v>5.8319144380664962</v>
      </c>
      <c r="EN45" s="19">
        <f t="shared" si="101"/>
        <v>1.4681742641286284</v>
      </c>
      <c r="EO45" s="19">
        <f t="shared" si="102"/>
        <v>100</v>
      </c>
    </row>
    <row r="46" spans="1:146">
      <c r="A46" s="1" t="s">
        <v>45</v>
      </c>
      <c r="B46" s="1" t="s">
        <v>47</v>
      </c>
      <c r="C46" s="1">
        <v>1</v>
      </c>
      <c r="D46" s="1" t="s">
        <v>43</v>
      </c>
      <c r="E46" s="1" t="s">
        <v>46</v>
      </c>
      <c r="F46" s="2"/>
      <c r="G46" s="14">
        <v>33.44</v>
      </c>
      <c r="H46" s="14">
        <v>2.681</v>
      </c>
      <c r="I46" s="14">
        <v>12.59</v>
      </c>
      <c r="J46" s="14">
        <v>12.15</v>
      </c>
      <c r="K46" s="14">
        <v>0.30299999999999999</v>
      </c>
      <c r="L46" s="14">
        <v>5.77</v>
      </c>
      <c r="M46" s="14">
        <v>18.86</v>
      </c>
      <c r="N46" s="14">
        <v>5.72</v>
      </c>
      <c r="O46" s="14">
        <v>4.79</v>
      </c>
      <c r="P46" s="14">
        <v>2.37</v>
      </c>
      <c r="Q46" s="14">
        <v>1.51</v>
      </c>
      <c r="R46" s="14"/>
      <c r="S46" s="15">
        <f t="shared" si="81"/>
        <v>100.18400000000001</v>
      </c>
      <c r="U46" s="86"/>
      <c r="V46" s="86"/>
      <c r="W46" s="14"/>
      <c r="X46" s="14"/>
      <c r="Y46" s="14"/>
      <c r="Z46" s="14"/>
      <c r="AA46" s="14"/>
      <c r="AB46" s="14"/>
      <c r="AC46" s="14"/>
      <c r="AD46" s="14"/>
      <c r="AF46" s="19">
        <f t="shared" si="82"/>
        <v>0.52533469476828132</v>
      </c>
      <c r="AG46" s="20">
        <f t="shared" si="83"/>
        <v>16072.595000000001</v>
      </c>
      <c r="AH46" s="20">
        <f t="shared" si="84"/>
        <v>39766.58</v>
      </c>
      <c r="AI46" s="20">
        <f t="shared" si="77"/>
        <v>10342.68</v>
      </c>
      <c r="AJ46" s="19">
        <f t="shared" si="85"/>
        <v>10.51</v>
      </c>
      <c r="AK46" s="19">
        <f t="shared" si="86"/>
        <v>0.83741258741258751</v>
      </c>
      <c r="AL46" s="19">
        <f t="shared" si="87"/>
        <v>1.1941544885177453</v>
      </c>
      <c r="AM46" s="19">
        <f t="shared" si="88"/>
        <v>1.4980142970611596</v>
      </c>
      <c r="AN46" s="19">
        <f t="shared" si="89"/>
        <v>1.1591944295684293</v>
      </c>
      <c r="AO46" s="118">
        <f>1000*(4*(DY46/60.08)-11*(EF46/61.98*2+EG46/94.2*2)-2*(EB46/159.69+DZ46/79.87))</f>
        <v>-3945.5928484046826</v>
      </c>
      <c r="AP46" s="118">
        <f>1000*(6*(EE46/56.08)+2*(ED46/40.3)+EA46/101.96*2)</f>
        <v>3625.8245100358863</v>
      </c>
      <c r="AR46" s="118">
        <v>106</v>
      </c>
      <c r="AS46" s="118">
        <v>2728</v>
      </c>
      <c r="AT46" s="118">
        <v>2612</v>
      </c>
      <c r="AU46" s="14">
        <f t="shared" si="90"/>
        <v>0.14324162679425839</v>
      </c>
      <c r="AV46" s="14">
        <f t="shared" si="91"/>
        <v>0.41180224253738262</v>
      </c>
      <c r="AW46" s="14"/>
      <c r="AX46" s="118">
        <v>106</v>
      </c>
      <c r="AY46" s="118">
        <v>2728</v>
      </c>
      <c r="AZ46" s="118">
        <v>2612</v>
      </c>
      <c r="BB46" s="118">
        <v>12.9</v>
      </c>
      <c r="BC46" s="118">
        <v>341</v>
      </c>
      <c r="BD46" s="118">
        <v>38</v>
      </c>
      <c r="BE46" s="118">
        <v>244</v>
      </c>
      <c r="BF46" s="118">
        <v>119</v>
      </c>
      <c r="BG46" s="118">
        <v>102</v>
      </c>
      <c r="BH46" s="118">
        <v>115</v>
      </c>
      <c r="BI46" s="118">
        <v>54</v>
      </c>
      <c r="BJ46" s="118">
        <v>343</v>
      </c>
      <c r="BK46" s="118">
        <v>349</v>
      </c>
      <c r="BL46" s="117">
        <v>6</v>
      </c>
      <c r="BM46" s="117">
        <v>20.100000000000001</v>
      </c>
      <c r="BN46" s="117">
        <v>248</v>
      </c>
      <c r="BO46" s="117">
        <v>435</v>
      </c>
      <c r="BP46" s="117">
        <v>47</v>
      </c>
      <c r="BQ46" s="117">
        <v>158</v>
      </c>
      <c r="BR46" s="14">
        <v>21.7</v>
      </c>
      <c r="BS46" s="14">
        <v>6.2</v>
      </c>
      <c r="BT46" s="117">
        <v>15.4</v>
      </c>
      <c r="BU46" s="14"/>
      <c r="BV46" s="14">
        <v>10.31</v>
      </c>
      <c r="BW46" s="14">
        <v>1.93</v>
      </c>
      <c r="BX46" s="14">
        <v>4.5999999999999996</v>
      </c>
      <c r="BY46" s="14"/>
      <c r="BZ46" s="14">
        <v>4.0999999999999996</v>
      </c>
      <c r="CA46" s="14">
        <v>0.54</v>
      </c>
      <c r="CB46" s="117">
        <v>6.7</v>
      </c>
      <c r="CC46" s="117">
        <v>29</v>
      </c>
      <c r="CD46" s="118">
        <v>14.8</v>
      </c>
      <c r="CG46" s="22">
        <f t="shared" si="108"/>
        <v>800</v>
      </c>
      <c r="CH46" s="22">
        <f t="shared" si="109"/>
        <v>538.36633663366331</v>
      </c>
      <c r="CI46" s="22">
        <f t="shared" si="110"/>
        <v>385.24590163934425</v>
      </c>
      <c r="CJ46" s="22">
        <f t="shared" si="111"/>
        <v>263.33333333333337</v>
      </c>
      <c r="CK46" s="22">
        <f>BS46/0.195</f>
        <v>31.794871794871796</v>
      </c>
      <c r="CL46" s="22">
        <f>BR46/0.074</f>
        <v>293.24324324324323</v>
      </c>
      <c r="CM46" s="22">
        <f t="shared" si="112"/>
        <v>59.45945945945946</v>
      </c>
      <c r="CN46" s="22">
        <f t="shared" si="113"/>
        <v>0</v>
      </c>
      <c r="CO46" s="22">
        <f t="shared" si="114"/>
        <v>32.018633540372669</v>
      </c>
      <c r="CP46" s="22">
        <f t="shared" si="115"/>
        <v>26.880222841225624</v>
      </c>
      <c r="CQ46" s="22">
        <f t="shared" si="116"/>
        <v>21.904761904761905</v>
      </c>
      <c r="CR46" s="22">
        <f t="shared" si="117"/>
        <v>0</v>
      </c>
      <c r="CS46" s="22">
        <f t="shared" si="118"/>
        <v>19.617224880382775</v>
      </c>
      <c r="CT46" s="22">
        <f t="shared" si="119"/>
        <v>16.875</v>
      </c>
      <c r="CU46" s="22">
        <f t="shared" si="120"/>
        <v>7.4842406876790832</v>
      </c>
      <c r="CV46" s="117">
        <f t="shared" si="121"/>
        <v>10.53225806451613</v>
      </c>
      <c r="CW46" s="22">
        <f t="shared" si="122"/>
        <v>0.71060171919770776</v>
      </c>
      <c r="CX46" s="20">
        <f t="shared" si="103"/>
        <v>46.053280802292264</v>
      </c>
      <c r="CY46" s="22"/>
      <c r="CZ46" s="22"/>
      <c r="DA46" s="22">
        <f>AX46/BS46</f>
        <v>17.096774193548388</v>
      </c>
      <c r="DB46" s="22">
        <f t="shared" si="104"/>
        <v>0.98280802292263614</v>
      </c>
      <c r="DC46" s="22"/>
      <c r="DD46" s="22"/>
      <c r="DE46" s="22">
        <f t="shared" si="123"/>
        <v>4.9024390243902447</v>
      </c>
      <c r="DF46" s="22"/>
      <c r="DG46" s="19">
        <f t="shared" si="124"/>
        <v>6.4629629629629628</v>
      </c>
      <c r="DH46" s="20">
        <f t="shared" si="125"/>
        <v>160.3491129032258</v>
      </c>
      <c r="DI46" s="19"/>
      <c r="DJ46" s="22"/>
      <c r="DK46" s="22"/>
      <c r="DL46" s="22">
        <f t="shared" si="126"/>
        <v>25.161290322580644</v>
      </c>
      <c r="DM46" s="22">
        <f t="shared" si="127"/>
        <v>60.487804878048784</v>
      </c>
      <c r="DN46" s="22">
        <f>BS46/BZ46</f>
        <v>1.5121951219512197</v>
      </c>
      <c r="DO46" s="22"/>
      <c r="DP46" s="20">
        <f t="shared" si="128"/>
        <v>665.36585365853659</v>
      </c>
      <c r="DQ46" s="22"/>
      <c r="DR46" s="22">
        <f>AY46/(((BS46/0.195)*(BT46/0.259))^0.5)</f>
        <v>62.741565170148561</v>
      </c>
      <c r="DS46" s="19">
        <f>(BR46/0.074)/(((BS46/0.195)*(BT46/0.259))^0.5)</f>
        <v>6.744332865341522</v>
      </c>
      <c r="DT46" s="23">
        <f t="shared" si="105"/>
        <v>3.6656891495601173E-4</v>
      </c>
      <c r="DU46" s="22">
        <f t="shared" si="129"/>
        <v>6.3518518518518521</v>
      </c>
      <c r="DV46" s="22">
        <f>BK46/BM46</f>
        <v>17.363184079601989</v>
      </c>
      <c r="DW46" s="22">
        <f t="shared" si="130"/>
        <v>1.0088629755141914</v>
      </c>
      <c r="DX46" s="22">
        <f t="shared" si="106"/>
        <v>101.74927113702624</v>
      </c>
      <c r="DY46" s="22"/>
      <c r="DZ46" s="19">
        <f t="shared" si="107"/>
        <v>1.1256296616299283E-2</v>
      </c>
      <c r="EA46" s="23"/>
      <c r="EB46" s="19">
        <f t="shared" si="131"/>
        <v>8.3094555873925502E-2</v>
      </c>
      <c r="EC46" s="19"/>
      <c r="ED46" s="19"/>
      <c r="EE46" s="19">
        <f t="shared" si="92"/>
        <v>33.889373087135411</v>
      </c>
      <c r="EF46" s="19">
        <f t="shared" si="93"/>
        <v>2.717027788475181</v>
      </c>
      <c r="EG46" s="19">
        <f t="shared" si="94"/>
        <v>12.759186817196019</v>
      </c>
      <c r="EH46" s="19">
        <f t="shared" si="95"/>
        <v>12.313274013417921</v>
      </c>
      <c r="EI46" s="19">
        <f t="shared" si="96"/>
        <v>0.30707177169264444</v>
      </c>
      <c r="EJ46" s="19">
        <f t="shared" si="97"/>
        <v>5.8475383586355063</v>
      </c>
      <c r="EK46" s="19">
        <f t="shared" si="98"/>
        <v>19.113444271033909</v>
      </c>
      <c r="EL46" s="19">
        <f t="shared" si="99"/>
        <v>5.7968664491152682</v>
      </c>
      <c r="EM46" s="19">
        <f t="shared" si="100"/>
        <v>4.8543689320388346</v>
      </c>
      <c r="EN46" s="19">
        <f t="shared" si="101"/>
        <v>2.4018485112592982</v>
      </c>
      <c r="EO46" s="19">
        <f t="shared" si="102"/>
        <v>100</v>
      </c>
    </row>
    <row r="47" spans="1:146">
      <c r="A47" s="1" t="s">
        <v>45</v>
      </c>
      <c r="B47" s="1" t="s">
        <v>47</v>
      </c>
      <c r="C47" s="1">
        <v>1</v>
      </c>
      <c r="D47" s="1" t="s">
        <v>43</v>
      </c>
      <c r="E47" s="1" t="s">
        <v>46</v>
      </c>
      <c r="F47" s="2"/>
      <c r="G47" s="14">
        <v>36.49</v>
      </c>
      <c r="H47" s="14">
        <v>3.0150000000000001</v>
      </c>
      <c r="I47" s="14">
        <v>11.12</v>
      </c>
      <c r="J47" s="14">
        <v>12.4</v>
      </c>
      <c r="K47" s="14">
        <v>0.221</v>
      </c>
      <c r="L47" s="14">
        <v>8.64</v>
      </c>
      <c r="M47" s="14">
        <v>17.41</v>
      </c>
      <c r="N47" s="14">
        <v>3.4</v>
      </c>
      <c r="O47" s="14">
        <v>2.88</v>
      </c>
      <c r="P47" s="14">
        <v>1.77</v>
      </c>
      <c r="Q47" s="14">
        <v>2.89</v>
      </c>
      <c r="R47" s="14"/>
      <c r="S47" s="15">
        <f t="shared" si="81"/>
        <v>100.23599999999999</v>
      </c>
      <c r="U47" s="86"/>
      <c r="V47" s="86"/>
      <c r="W47" s="14"/>
      <c r="X47" s="14"/>
      <c r="Y47" s="14"/>
      <c r="Z47" s="14"/>
      <c r="AA47" s="14"/>
      <c r="AB47" s="14"/>
      <c r="AC47" s="14"/>
      <c r="AD47" s="14"/>
      <c r="AF47" s="19">
        <f t="shared" si="82"/>
        <v>0.61887804961308268</v>
      </c>
      <c r="AG47" s="20">
        <f t="shared" si="83"/>
        <v>18074.924999999999</v>
      </c>
      <c r="AH47" s="20">
        <f t="shared" si="84"/>
        <v>23909.759999999998</v>
      </c>
      <c r="AI47" s="20">
        <f t="shared" si="77"/>
        <v>7724.28</v>
      </c>
      <c r="AJ47" s="19">
        <f t="shared" si="85"/>
        <v>6.2799999999999994</v>
      </c>
      <c r="AK47" s="19">
        <f t="shared" si="86"/>
        <v>0.84705882352941175</v>
      </c>
      <c r="AL47" s="19">
        <f t="shared" si="87"/>
        <v>1.1805555555555556</v>
      </c>
      <c r="AM47" s="19">
        <f t="shared" si="88"/>
        <v>1.5656474820143884</v>
      </c>
      <c r="AN47" s="19">
        <f t="shared" si="89"/>
        <v>0.78331002618872825</v>
      </c>
      <c r="AO47" s="118">
        <f>1000*(4*(DY47/60.08)-11*(EF47/61.98*2+EG47/94.2*2)-2*(EB47/159.69+DZ47/79.87))</f>
        <v>-3768.734888197122</v>
      </c>
      <c r="AP47" s="118">
        <f>1000*(6*(EE47/56.08)+2*(ED47/40.3)+EA47/101.96*2)</f>
        <v>4010.5044075176002</v>
      </c>
      <c r="AR47" s="118">
        <v>70</v>
      </c>
      <c r="AS47" s="118">
        <v>2459</v>
      </c>
      <c r="AT47" s="118">
        <v>1412</v>
      </c>
      <c r="AU47" s="14">
        <f t="shared" si="90"/>
        <v>7.8925733077555488E-2</v>
      </c>
      <c r="AV47" s="14">
        <f t="shared" si="91"/>
        <v>0.28032809421252802</v>
      </c>
      <c r="AW47" s="14"/>
      <c r="AX47" s="118">
        <v>70</v>
      </c>
      <c r="AY47" s="118">
        <v>2459</v>
      </c>
      <c r="AZ47" s="118">
        <v>1412</v>
      </c>
      <c r="BB47" s="118">
        <v>21</v>
      </c>
      <c r="BC47" s="118">
        <v>392</v>
      </c>
      <c r="BD47" s="118">
        <v>254</v>
      </c>
      <c r="BE47" s="118">
        <v>76</v>
      </c>
      <c r="BF47" s="118">
        <v>112</v>
      </c>
      <c r="BG47" s="118">
        <v>100</v>
      </c>
      <c r="BH47" s="118">
        <v>100</v>
      </c>
      <c r="BI47" s="118">
        <v>40</v>
      </c>
      <c r="BJ47" s="118">
        <v>298</v>
      </c>
      <c r="BK47" s="118">
        <v>150</v>
      </c>
      <c r="BL47" s="117">
        <v>6.3</v>
      </c>
      <c r="BM47" s="117">
        <v>10.4</v>
      </c>
      <c r="BN47" s="117">
        <v>147</v>
      </c>
      <c r="BO47" s="117">
        <v>278</v>
      </c>
      <c r="BP47" s="117">
        <v>31</v>
      </c>
      <c r="BQ47" s="117">
        <v>109</v>
      </c>
      <c r="BR47" s="14">
        <v>16</v>
      </c>
      <c r="BS47" s="14">
        <v>4.5999999999999996</v>
      </c>
      <c r="BT47" s="117">
        <v>11.6</v>
      </c>
      <c r="BU47" s="14"/>
      <c r="BV47" s="14">
        <v>6.8</v>
      </c>
      <c r="BW47" s="14">
        <v>1.27</v>
      </c>
      <c r="BX47" s="14">
        <v>2.8</v>
      </c>
      <c r="BY47" s="14"/>
      <c r="BZ47" s="14">
        <v>2.2999999999999998</v>
      </c>
      <c r="CA47" s="14">
        <v>0.32</v>
      </c>
      <c r="CB47" s="117"/>
      <c r="CC47" s="117">
        <v>15.7</v>
      </c>
      <c r="CD47" s="118">
        <v>5.9</v>
      </c>
      <c r="CG47" s="22">
        <f t="shared" si="108"/>
        <v>474.19354838709677</v>
      </c>
      <c r="CH47" s="22">
        <f t="shared" si="109"/>
        <v>344.05940594059405</v>
      </c>
      <c r="CI47" s="22">
        <f t="shared" si="110"/>
        <v>254.09836065573771</v>
      </c>
      <c r="CJ47" s="22">
        <f t="shared" si="111"/>
        <v>181.66666666666669</v>
      </c>
      <c r="CK47" s="22">
        <f>BS47/0.195</f>
        <v>23.589743589743588</v>
      </c>
      <c r="CL47" s="22">
        <f>BR47/0.074</f>
        <v>216.21621621621622</v>
      </c>
      <c r="CM47" s="22">
        <f t="shared" si="112"/>
        <v>44.787644787644787</v>
      </c>
      <c r="CN47" s="22">
        <f t="shared" si="113"/>
        <v>0</v>
      </c>
      <c r="CO47" s="22">
        <f t="shared" si="114"/>
        <v>21.118012422360248</v>
      </c>
      <c r="CP47" s="22">
        <f t="shared" si="115"/>
        <v>17.688022284122564</v>
      </c>
      <c r="CQ47" s="22">
        <f t="shared" si="116"/>
        <v>13.333333333333332</v>
      </c>
      <c r="CR47" s="22">
        <f t="shared" si="117"/>
        <v>0</v>
      </c>
      <c r="CS47" s="22">
        <f t="shared" si="118"/>
        <v>11.004784688995215</v>
      </c>
      <c r="CT47" s="22">
        <f t="shared" si="119"/>
        <v>10</v>
      </c>
      <c r="CU47" s="22">
        <f t="shared" si="120"/>
        <v>9.413333333333334</v>
      </c>
      <c r="CV47" s="117">
        <f t="shared" si="121"/>
        <v>9.6054421768707474</v>
      </c>
      <c r="CW47" s="22">
        <f t="shared" si="122"/>
        <v>0.98</v>
      </c>
      <c r="CX47" s="20">
        <f t="shared" si="103"/>
        <v>120.4995</v>
      </c>
      <c r="CY47" s="22"/>
      <c r="CZ47" s="22"/>
      <c r="DA47" s="22">
        <f>AX47/BS47</f>
        <v>15.217391304347828</v>
      </c>
      <c r="DB47" s="22">
        <f t="shared" si="104"/>
        <v>1.9866666666666666</v>
      </c>
      <c r="DC47" s="22"/>
      <c r="DD47" s="22"/>
      <c r="DE47" s="22">
        <f t="shared" si="123"/>
        <v>4.5217391304347831</v>
      </c>
      <c r="DF47" s="22"/>
      <c r="DG47" s="19">
        <f t="shared" si="124"/>
        <v>3.75</v>
      </c>
      <c r="DH47" s="20">
        <f t="shared" si="125"/>
        <v>162.65142857142857</v>
      </c>
      <c r="DI47" s="19"/>
      <c r="DJ47" s="22"/>
      <c r="DK47" s="22"/>
      <c r="DL47" s="22">
        <f t="shared" si="126"/>
        <v>20.101683029453017</v>
      </c>
      <c r="DM47" s="22">
        <f t="shared" si="127"/>
        <v>63.913043478260875</v>
      </c>
      <c r="DN47" s="22">
        <f>BS47/BZ47</f>
        <v>2</v>
      </c>
      <c r="DO47" s="22"/>
      <c r="DP47" s="20">
        <f t="shared" si="128"/>
        <v>1069.1304347826087</v>
      </c>
      <c r="DQ47" s="22"/>
      <c r="DR47" s="22">
        <f>AY47/(((BS47/0.195)*(BT47/0.259))^0.5)</f>
        <v>75.651545721377914</v>
      </c>
      <c r="DS47" s="19">
        <f>(BR47/0.074)/(((BS47/0.195)*(BT47/0.259))^0.5)</f>
        <v>6.6519280060123691</v>
      </c>
      <c r="DT47" s="23">
        <f t="shared" si="105"/>
        <v>4.0666937779585197E-4</v>
      </c>
      <c r="DU47" s="22">
        <f t="shared" si="129"/>
        <v>7.45</v>
      </c>
      <c r="DV47" s="22">
        <f>BK47/BM47</f>
        <v>14.423076923076923</v>
      </c>
      <c r="DW47" s="22">
        <f t="shared" si="130"/>
        <v>0.63949122405099668</v>
      </c>
      <c r="DX47" s="22">
        <f t="shared" si="106"/>
        <v>50.335570469798661</v>
      </c>
      <c r="DY47" s="22"/>
      <c r="DZ47" s="19">
        <f t="shared" si="107"/>
        <v>9.2324217217844909E-3</v>
      </c>
      <c r="EA47" s="23"/>
      <c r="EB47" s="19">
        <f t="shared" si="131"/>
        <v>0.10466666666666666</v>
      </c>
      <c r="EC47" s="19"/>
      <c r="ED47" s="19"/>
      <c r="EE47" s="19">
        <f t="shared" si="92"/>
        <v>37.484847862264502</v>
      </c>
      <c r="EF47" s="19">
        <f t="shared" si="93"/>
        <v>3.0971996794937651</v>
      </c>
      <c r="EG47" s="19">
        <f t="shared" si="94"/>
        <v>11.423170957204201</v>
      </c>
      <c r="EH47" s="19">
        <f t="shared" si="95"/>
        <v>12.738068333573029</v>
      </c>
      <c r="EI47" s="19">
        <f t="shared" si="96"/>
        <v>0.22702525013868063</v>
      </c>
      <c r="EJ47" s="19">
        <f t="shared" si="97"/>
        <v>8.8755572904895956</v>
      </c>
      <c r="EK47" s="19">
        <f t="shared" si="98"/>
        <v>17.884658845766648</v>
      </c>
      <c r="EL47" s="19">
        <f t="shared" si="99"/>
        <v>3.4926961559797016</v>
      </c>
      <c r="EM47" s="19">
        <f t="shared" si="100"/>
        <v>2.9585190968298649</v>
      </c>
      <c r="EN47" s="19">
        <f t="shared" si="101"/>
        <v>1.8182565282600212</v>
      </c>
      <c r="EO47" s="19">
        <f t="shared" si="102"/>
        <v>100</v>
      </c>
    </row>
    <row r="48" spans="1:146">
      <c r="A48" s="1" t="s">
        <v>45</v>
      </c>
      <c r="B48" s="1" t="s">
        <v>44</v>
      </c>
      <c r="C48" s="1">
        <v>1</v>
      </c>
      <c r="D48" s="1" t="s">
        <v>43</v>
      </c>
      <c r="E48" s="1" t="s">
        <v>42</v>
      </c>
      <c r="F48" s="2"/>
      <c r="G48" s="14">
        <v>40.349600000000002</v>
      </c>
      <c r="H48" s="14">
        <v>2.6747999999999998</v>
      </c>
      <c r="I48" s="14">
        <v>16.526</v>
      </c>
      <c r="J48" s="14">
        <v>12.3536</v>
      </c>
      <c r="K48" s="14">
        <v>0.25969999999999999</v>
      </c>
      <c r="L48" s="14">
        <v>3.9611999999999998</v>
      </c>
      <c r="M48" s="14">
        <v>11.515700000000001</v>
      </c>
      <c r="N48" s="14">
        <v>5.1582999999999997</v>
      </c>
      <c r="O48" s="14">
        <v>6.5815000000000001</v>
      </c>
      <c r="P48" s="14">
        <v>1.4855</v>
      </c>
      <c r="Q48" s="14"/>
      <c r="R48" s="14"/>
      <c r="S48" s="15">
        <f t="shared" si="81"/>
        <v>100.8659</v>
      </c>
      <c r="U48" s="86"/>
      <c r="V48" s="86"/>
      <c r="W48" s="14"/>
      <c r="X48" s="14"/>
      <c r="Y48" s="14"/>
      <c r="Z48" s="14"/>
      <c r="AA48" s="14"/>
      <c r="AB48" s="14"/>
      <c r="AC48" s="14"/>
      <c r="AD48" s="14"/>
      <c r="AF48" s="19">
        <f t="shared" si="82"/>
        <v>0.42768128300590963</v>
      </c>
      <c r="AG48" s="20">
        <f t="shared" si="83"/>
        <v>16035.425999999999</v>
      </c>
      <c r="AH48" s="20">
        <f t="shared" si="84"/>
        <v>54639.612999999998</v>
      </c>
      <c r="AI48" s="20">
        <f t="shared" si="77"/>
        <v>6482.7219999999998</v>
      </c>
      <c r="AJ48" s="19">
        <f t="shared" si="85"/>
        <v>11.739799999999999</v>
      </c>
      <c r="AK48" s="19">
        <f t="shared" si="86"/>
        <v>1.2759048523738441</v>
      </c>
      <c r="AL48" s="19">
        <f t="shared" si="87"/>
        <v>0.78375750208918937</v>
      </c>
      <c r="AM48" s="19">
        <f t="shared" si="88"/>
        <v>0.6968231877042238</v>
      </c>
      <c r="AN48" s="19">
        <f t="shared" si="89"/>
        <v>0.94453074725807418</v>
      </c>
      <c r="AO48" s="118">
        <f t="shared" ref="AO48:AO55" si="132">1000*(4*(DU48/60.08)-11*(EB48/61.98*2+EC48/94.2*2)-2*(DX48/159.69+DV48/79.87))</f>
        <v>-264.11782638107309</v>
      </c>
      <c r="AP48" s="118">
        <f t="shared" ref="AP48:AP55" si="133">1000*(6*(EA48/56.08)+2*(DZ48/40.3)+DW48/101.96*2)</f>
        <v>13.645055716511944</v>
      </c>
      <c r="AR48" s="118">
        <v>70</v>
      </c>
      <c r="AS48" s="118">
        <v>2459</v>
      </c>
      <c r="AT48" s="118">
        <v>1412</v>
      </c>
      <c r="AU48" s="14">
        <f t="shared" si="90"/>
        <v>0.16311190197672343</v>
      </c>
      <c r="AV48" s="14">
        <f t="shared" si="91"/>
        <v>0.43105834902629137</v>
      </c>
      <c r="AW48" s="118"/>
      <c r="AX48" s="118">
        <v>151.6421494778252</v>
      </c>
      <c r="AY48" s="118">
        <v>2528.7115643015386</v>
      </c>
      <c r="AZ48" s="118">
        <v>2635.3214486269208</v>
      </c>
      <c r="BA48" s="117">
        <v>1.7325598166771841</v>
      </c>
      <c r="BB48" s="117">
        <v>4.3521576409122975</v>
      </c>
      <c r="BC48" s="118">
        <v>282.91268058818531</v>
      </c>
      <c r="BD48" s="117">
        <v>2.7472890645068797</v>
      </c>
      <c r="BE48" s="118">
        <v>38.033358249427508</v>
      </c>
      <c r="BF48" s="118">
        <v>21.005893281907753</v>
      </c>
      <c r="BG48" s="117">
        <v>159.56286044658896</v>
      </c>
      <c r="BH48" s="117">
        <v>99.681659972539165</v>
      </c>
      <c r="BI48" s="117">
        <v>32.380546092610786</v>
      </c>
      <c r="BJ48" s="117">
        <v>284.51</v>
      </c>
      <c r="BK48" s="117">
        <v>178.76</v>
      </c>
      <c r="BL48" s="117">
        <v>4.3976308791239083</v>
      </c>
      <c r="BM48" s="14"/>
      <c r="BN48" s="14">
        <v>212.18755898101202</v>
      </c>
      <c r="BO48" s="117">
        <v>396.59158602271134</v>
      </c>
      <c r="BP48" s="14">
        <v>39.57806503010795</v>
      </c>
      <c r="BQ48" s="14">
        <v>137.52580742233158</v>
      </c>
      <c r="BR48" s="14">
        <v>19.535661207141413</v>
      </c>
      <c r="BS48" s="14">
        <v>5.3293370848788877</v>
      </c>
      <c r="BT48" s="14">
        <v>13.94038671088199</v>
      </c>
      <c r="BU48" s="14">
        <v>1.5551735589963938</v>
      </c>
      <c r="BV48" s="14">
        <v>7.742426140326006</v>
      </c>
      <c r="BW48" s="117">
        <v>1.3335719765929537</v>
      </c>
      <c r="BX48" s="117">
        <v>3.5525584415259219</v>
      </c>
      <c r="BY48" s="117">
        <v>0.44180505643374629</v>
      </c>
      <c r="BZ48" s="117">
        <v>2.7487980163255687</v>
      </c>
      <c r="CA48" s="117">
        <v>0.38708185868268385</v>
      </c>
      <c r="CB48" s="1">
        <v>5.0454743213927973</v>
      </c>
      <c r="CC48" s="22">
        <v>20.992839082172196</v>
      </c>
      <c r="CD48" s="22">
        <v>7.5566828332185763</v>
      </c>
      <c r="CE48" s="22"/>
      <c r="CF48" s="22"/>
      <c r="CG48" s="22">
        <f t="shared" si="108"/>
        <v>684.47599671294199</v>
      </c>
      <c r="CH48" s="22">
        <f t="shared" si="109"/>
        <v>490.83117082018725</v>
      </c>
      <c r="CI48" s="22">
        <f t="shared" si="110"/>
        <v>324.41036909924549</v>
      </c>
      <c r="CJ48" s="22">
        <f t="shared" si="111"/>
        <v>229.2096790372193</v>
      </c>
      <c r="CK48" s="22">
        <f>BR48/0.195</f>
        <v>100.18287798534057</v>
      </c>
      <c r="CL48" s="22">
        <f>BS48/0.074</f>
        <v>72.01806871457957</v>
      </c>
      <c r="CM48" s="22">
        <f t="shared" si="112"/>
        <v>53.823886914602276</v>
      </c>
      <c r="CN48" s="22">
        <f t="shared" si="113"/>
        <v>32.809568755198185</v>
      </c>
      <c r="CO48" s="22">
        <f t="shared" si="114"/>
        <v>24.044801678031074</v>
      </c>
      <c r="CP48" s="22">
        <f t="shared" si="115"/>
        <v>18.573425857840579</v>
      </c>
      <c r="CQ48" s="22">
        <f t="shared" si="116"/>
        <v>16.91694495964725</v>
      </c>
      <c r="CR48" s="22">
        <f t="shared" si="117"/>
        <v>13.63595853190575</v>
      </c>
      <c r="CS48" s="22">
        <f t="shared" si="118"/>
        <v>13.152143618782626</v>
      </c>
      <c r="CT48" s="22">
        <f t="shared" si="119"/>
        <v>12.09630808383387</v>
      </c>
      <c r="CU48" s="22">
        <f t="shared" si="120"/>
        <v>14.742232314986131</v>
      </c>
      <c r="CV48" s="117">
        <f t="shared" si="121"/>
        <v>12.419773625195186</v>
      </c>
      <c r="CW48" s="22">
        <f t="shared" si="122"/>
        <v>1.1869968616078095</v>
      </c>
      <c r="CX48" s="20">
        <f t="shared" si="103"/>
        <v>89.703658536585365</v>
      </c>
      <c r="CY48" s="22">
        <f>BO48/CB48</f>
        <v>78.603429679775417</v>
      </c>
      <c r="CZ48" s="22">
        <f>BK48/CD48</f>
        <v>23.655882342207782</v>
      </c>
      <c r="DA48" s="22">
        <f>AX48/BR48</f>
        <v>7.7623249026447709</v>
      </c>
      <c r="DB48" s="22">
        <f t="shared" si="104"/>
        <v>1.5915752964869099</v>
      </c>
      <c r="DC48" s="22">
        <f>AZ48/CC48</f>
        <v>125.53430426020469</v>
      </c>
      <c r="DD48" s="22"/>
      <c r="DE48" s="22">
        <f t="shared" si="123"/>
        <v>0</v>
      </c>
      <c r="DF48" s="22">
        <f>CC48/BZ48</f>
        <v>7.637097726894531</v>
      </c>
      <c r="DG48" s="19">
        <f t="shared" si="124"/>
        <v>5.5205986794890061</v>
      </c>
      <c r="DH48" s="20">
        <f t="shared" si="125"/>
        <v>257.50620471056703</v>
      </c>
      <c r="DI48" s="19">
        <f>(BK48/0.46)/((O48/0.023)*(CD48/0.017))^0.5</f>
        <v>1.0896144472192664</v>
      </c>
      <c r="DJ48" s="22">
        <f>BN48/CA48</f>
        <v>548.17231606546545</v>
      </c>
      <c r="DK48" s="22">
        <f>CG48/CT48</f>
        <v>56.585529400306115</v>
      </c>
      <c r="DL48" s="22">
        <f t="shared" si="126"/>
        <v>6.8322652580723338</v>
      </c>
      <c r="DM48" s="22">
        <f t="shared" si="127"/>
        <v>77.192852192410939</v>
      </c>
      <c r="DN48" s="22">
        <f>BR48/BZ48</f>
        <v>7.1069831581352538</v>
      </c>
      <c r="DO48" s="22"/>
      <c r="DP48" s="20">
        <f t="shared" si="128"/>
        <v>919.93356706571376</v>
      </c>
      <c r="DQ48" s="22">
        <f>AY48/BQ48</f>
        <v>18.387178462701566</v>
      </c>
      <c r="DR48" s="22">
        <f>AY48/(((BR48/0.195)*(BT48/0.259))^0.5)</f>
        <v>34.436183564769429</v>
      </c>
      <c r="DS48" s="19">
        <f>(BS48/0.074)/(((BR48/0.195)*(BT48/0.259))^0.5)</f>
        <v>0.98074745623289572</v>
      </c>
      <c r="DT48" s="23">
        <f t="shared" si="105"/>
        <v>3.9545830932924625E-4</v>
      </c>
      <c r="DU48" s="22">
        <f t="shared" si="129"/>
        <v>8.7864484800929574</v>
      </c>
      <c r="DV48" s="22"/>
      <c r="DW48" s="22">
        <f t="shared" si="130"/>
        <v>0.66986451282835535</v>
      </c>
      <c r="DX48" s="22">
        <f t="shared" si="106"/>
        <v>62.83083195669748</v>
      </c>
      <c r="DY48" s="22">
        <f>CC48*100/BJ48</f>
        <v>7.3785944543855031</v>
      </c>
      <c r="DZ48" s="19">
        <f t="shared" si="107"/>
        <v>1.0181887330882412E-2</v>
      </c>
      <c r="EA48" s="23"/>
      <c r="EB48" s="19">
        <f t="shared" si="131"/>
        <v>0.11743588656395278</v>
      </c>
      <c r="EC48" s="19">
        <f>(CB48/0.144)/(CH48*CI48)^(1/2)</f>
        <v>8.7806380824125146E-2</v>
      </c>
      <c r="ED48" s="19"/>
      <c r="EE48" s="19">
        <f t="shared" si="92"/>
        <v>40.003212185684163</v>
      </c>
      <c r="EF48" s="19">
        <f t="shared" si="93"/>
        <v>2.6518377370350135</v>
      </c>
      <c r="EG48" s="19">
        <f t="shared" si="94"/>
        <v>16.384129819889576</v>
      </c>
      <c r="EH48" s="19">
        <f t="shared" si="95"/>
        <v>12.247548477731327</v>
      </c>
      <c r="EI48" s="19">
        <f t="shared" si="96"/>
        <v>0.25747056240017685</v>
      </c>
      <c r="EJ48" s="19">
        <f t="shared" si="97"/>
        <v>3.927194423487026</v>
      </c>
      <c r="EK48" s="19">
        <f t="shared" si="98"/>
        <v>11.416841568855284</v>
      </c>
      <c r="EL48" s="19">
        <f t="shared" si="99"/>
        <v>5.1140177205576904</v>
      </c>
      <c r="EM48" s="19">
        <f t="shared" si="100"/>
        <v>6.525000024785383</v>
      </c>
      <c r="EN48" s="19">
        <f t="shared" si="101"/>
        <v>1.4727474795743658</v>
      </c>
      <c r="EO48" s="19">
        <f t="shared" si="102"/>
        <v>100</v>
      </c>
    </row>
    <row r="49" spans="1:152">
      <c r="A49" s="1" t="s">
        <v>45</v>
      </c>
      <c r="B49" s="1" t="s">
        <v>44</v>
      </c>
      <c r="C49" s="1">
        <v>1</v>
      </c>
      <c r="D49" s="1" t="s">
        <v>43</v>
      </c>
      <c r="E49" s="1" t="s">
        <v>42</v>
      </c>
      <c r="F49" s="2"/>
      <c r="G49" s="14">
        <v>39.432400000000001</v>
      </c>
      <c r="H49" s="14">
        <v>2.5706000000000002</v>
      </c>
      <c r="I49" s="14">
        <v>17.221</v>
      </c>
      <c r="J49" s="14">
        <v>11.898999999999999</v>
      </c>
      <c r="K49" s="14">
        <v>0.2555</v>
      </c>
      <c r="L49" s="14">
        <v>3.7597999999999998</v>
      </c>
      <c r="M49" s="14">
        <v>11.1447</v>
      </c>
      <c r="N49" s="14">
        <v>5.5433000000000003</v>
      </c>
      <c r="O49" s="14">
        <v>7.0487000000000002</v>
      </c>
      <c r="P49" s="14">
        <v>1.4067000000000001</v>
      </c>
      <c r="Q49" s="14"/>
      <c r="R49" s="14"/>
      <c r="S49" s="15">
        <f t="shared" si="81"/>
        <v>100.2817</v>
      </c>
      <c r="U49" s="86"/>
      <c r="V49" s="86"/>
      <c r="W49" s="14"/>
      <c r="X49" s="14"/>
      <c r="Y49" s="14"/>
      <c r="Z49" s="14"/>
      <c r="AA49" s="14"/>
      <c r="AB49" s="14"/>
      <c r="AC49" s="14"/>
      <c r="AD49" s="14"/>
      <c r="AF49" s="19">
        <f t="shared" si="82"/>
        <v>0.42408995863176657</v>
      </c>
      <c r="AG49" s="20">
        <f t="shared" si="83"/>
        <v>15410.747000000001</v>
      </c>
      <c r="AH49" s="20">
        <f t="shared" si="84"/>
        <v>58518.307400000005</v>
      </c>
      <c r="AI49" s="20">
        <f t="shared" si="77"/>
        <v>6138.8388000000004</v>
      </c>
      <c r="AJ49" s="19">
        <f t="shared" si="85"/>
        <v>12.592000000000001</v>
      </c>
      <c r="AK49" s="19">
        <f t="shared" si="86"/>
        <v>1.2715710858153084</v>
      </c>
      <c r="AL49" s="19">
        <f t="shared" si="87"/>
        <v>0.7864287031651227</v>
      </c>
      <c r="AM49" s="19">
        <f t="shared" si="88"/>
        <v>0.64715754021253125</v>
      </c>
      <c r="AN49" s="19">
        <f t="shared" si="89"/>
        <v>0.97255357452929347</v>
      </c>
      <c r="AO49" s="118">
        <f t="shared" si="132"/>
        <v>-285.07218168904882</v>
      </c>
      <c r="AP49" s="118">
        <f t="shared" si="133"/>
        <v>13.877493916012291</v>
      </c>
      <c r="AR49" s="118">
        <v>70</v>
      </c>
      <c r="AS49" s="118">
        <v>2459</v>
      </c>
      <c r="AT49" s="118">
        <v>1412</v>
      </c>
      <c r="AU49" s="14">
        <f t="shared" si="90"/>
        <v>0.17875401953723333</v>
      </c>
      <c r="AV49" s="14">
        <f t="shared" si="91"/>
        <v>0.44302637709279796</v>
      </c>
      <c r="AW49" s="118"/>
      <c r="AX49" s="118">
        <v>170.85190190672566</v>
      </c>
      <c r="AY49" s="118">
        <v>2647.929888078183</v>
      </c>
      <c r="AZ49" s="118">
        <v>2904.5373512080841</v>
      </c>
      <c r="BA49" s="117">
        <v>1.6766950419142725</v>
      </c>
      <c r="BB49" s="117">
        <v>4.1340460865092918</v>
      </c>
      <c r="BC49" s="118">
        <v>243.42277012571856</v>
      </c>
      <c r="BD49" s="117">
        <v>2.2275179229295672</v>
      </c>
      <c r="BE49" s="118">
        <v>34.767944607703846</v>
      </c>
      <c r="BF49" s="118">
        <v>19.492076440019346</v>
      </c>
      <c r="BG49" s="117">
        <v>129.07832446548892</v>
      </c>
      <c r="BH49" s="117">
        <v>94.497798656809749</v>
      </c>
      <c r="BI49" s="117">
        <v>31.704918334020061</v>
      </c>
      <c r="BJ49" s="117">
        <v>268.11</v>
      </c>
      <c r="BK49" s="117">
        <v>167.67000000000002</v>
      </c>
      <c r="BL49" s="117">
        <v>5.1765859312764855</v>
      </c>
      <c r="BM49" s="14"/>
      <c r="BN49" s="14">
        <v>220.64540120028693</v>
      </c>
      <c r="BO49" s="117">
        <v>418.95369714553573</v>
      </c>
      <c r="BP49" s="14">
        <v>42.961732666859199</v>
      </c>
      <c r="BQ49" s="14">
        <v>153.18874588496672</v>
      </c>
      <c r="BR49" s="14">
        <v>22.008958582724716</v>
      </c>
      <c r="BS49" s="14">
        <v>6.156510341471189</v>
      </c>
      <c r="BT49" s="14">
        <v>15.83131754912884</v>
      </c>
      <c r="BU49" s="14">
        <v>1.7585428337368734</v>
      </c>
      <c r="BV49" s="14">
        <v>8.6331497703244047</v>
      </c>
      <c r="BW49" s="117">
        <v>1.4999878172767154</v>
      </c>
      <c r="BX49" s="117">
        <v>3.9923129824148917</v>
      </c>
      <c r="BY49" s="117">
        <v>0.49891637888778551</v>
      </c>
      <c r="BZ49" s="117">
        <v>3.0900674487657867</v>
      </c>
      <c r="CA49" s="117">
        <v>0.44519113229084423</v>
      </c>
      <c r="CB49" s="1">
        <v>4.3442688834830756</v>
      </c>
      <c r="CC49" s="22">
        <v>22.841215507678385</v>
      </c>
      <c r="CD49" s="22">
        <v>10.58717541433874</v>
      </c>
      <c r="CE49" s="22"/>
      <c r="CF49" s="22"/>
      <c r="CG49" s="22">
        <f t="shared" si="108"/>
        <v>711.75935871060301</v>
      </c>
      <c r="CH49" s="22">
        <f t="shared" si="109"/>
        <v>518.50705092269266</v>
      </c>
      <c r="CI49" s="22">
        <f t="shared" si="110"/>
        <v>352.14534972835412</v>
      </c>
      <c r="CJ49" s="22">
        <f t="shared" si="111"/>
        <v>255.31457647494454</v>
      </c>
      <c r="CK49" s="22">
        <f>BR49/0.195</f>
        <v>112.86645427038316</v>
      </c>
      <c r="CL49" s="22">
        <f>BS49/0.074</f>
        <v>83.196085695556619</v>
      </c>
      <c r="CM49" s="22">
        <f t="shared" si="112"/>
        <v>61.124778181964636</v>
      </c>
      <c r="CN49" s="22">
        <f t="shared" si="113"/>
        <v>37.100059783478343</v>
      </c>
      <c r="CO49" s="22">
        <f t="shared" si="114"/>
        <v>26.811024131442249</v>
      </c>
      <c r="CP49" s="22">
        <f t="shared" si="115"/>
        <v>20.891195226695199</v>
      </c>
      <c r="CQ49" s="22">
        <f t="shared" si="116"/>
        <v>19.011014201975676</v>
      </c>
      <c r="CR49" s="22">
        <f t="shared" si="117"/>
        <v>15.398653669376097</v>
      </c>
      <c r="CS49" s="22">
        <f t="shared" si="118"/>
        <v>14.785011716582712</v>
      </c>
      <c r="CT49" s="22">
        <f t="shared" si="119"/>
        <v>13.912222884088882</v>
      </c>
      <c r="CU49" s="22">
        <f t="shared" si="120"/>
        <v>17.322940008397946</v>
      </c>
      <c r="CV49" s="117">
        <f t="shared" si="121"/>
        <v>13.16382455925987</v>
      </c>
      <c r="CW49" s="22">
        <f t="shared" si="122"/>
        <v>1.3159503858787314</v>
      </c>
      <c r="CX49" s="20">
        <f t="shared" si="103"/>
        <v>91.911176716168669</v>
      </c>
      <c r="CY49" s="22">
        <f>BO49/CB49</f>
        <v>96.4382519549835</v>
      </c>
      <c r="CZ49" s="22">
        <f>BK49/CD49</f>
        <v>15.837085288387323</v>
      </c>
      <c r="DA49" s="22">
        <f>AX49/BR49</f>
        <v>7.7628344505510052</v>
      </c>
      <c r="DB49" s="22">
        <f t="shared" si="104"/>
        <v>1.5990338164251208</v>
      </c>
      <c r="DC49" s="22">
        <f>AZ49/CC49</f>
        <v>127.16211841842149</v>
      </c>
      <c r="DD49" s="22"/>
      <c r="DE49" s="22">
        <f t="shared" si="123"/>
        <v>0</v>
      </c>
      <c r="DF49" s="22">
        <f>CC49/BZ49</f>
        <v>7.391817779512051</v>
      </c>
      <c r="DG49" s="19">
        <f t="shared" si="124"/>
        <v>5.2884539311393368</v>
      </c>
      <c r="DH49" s="20">
        <f t="shared" si="125"/>
        <v>265.21426271142201</v>
      </c>
      <c r="DI49" s="19">
        <f>(BK49/0.46)/((O49/0.023)*(CD49/0.017))^0.5</f>
        <v>0.83433669262927435</v>
      </c>
      <c r="DJ49" s="22">
        <f>BN49/CA49</f>
        <v>495.6194883417823</v>
      </c>
      <c r="DK49" s="22">
        <f>CG49/CT49</f>
        <v>51.160721377216241</v>
      </c>
      <c r="DL49" s="22">
        <f t="shared" si="126"/>
        <v>6.3062081936720586</v>
      </c>
      <c r="DM49" s="22">
        <f t="shared" si="127"/>
        <v>71.4047200776849</v>
      </c>
      <c r="DN49" s="22">
        <f>BR49/BZ49</f>
        <v>7.1224848478680887</v>
      </c>
      <c r="DO49" s="22"/>
      <c r="DP49" s="20">
        <f t="shared" si="128"/>
        <v>856.91653401798749</v>
      </c>
      <c r="DQ49" s="22">
        <f>AY49/BQ49</f>
        <v>17.285407441526939</v>
      </c>
      <c r="DR49" s="22">
        <f>AY49/(((BR49/0.195)*(BT49/0.259))^0.5)</f>
        <v>31.879785653721331</v>
      </c>
      <c r="DS49" s="19">
        <f>(BS49/0.074)/(((BR49/0.195)*(BT49/0.259))^0.5)</f>
        <v>1.0016403346419214</v>
      </c>
      <c r="DT49" s="23">
        <f t="shared" si="105"/>
        <v>3.7765350378131835E-4</v>
      </c>
      <c r="DU49" s="22">
        <f t="shared" si="129"/>
        <v>8.4564166724981664</v>
      </c>
      <c r="DV49" s="22"/>
      <c r="DW49" s="22">
        <f t="shared" si="130"/>
        <v>0.68313088779269182</v>
      </c>
      <c r="DX49" s="22">
        <f t="shared" si="106"/>
        <v>62.537764350453166</v>
      </c>
      <c r="DY49" s="22">
        <f>CC49*100/BJ49</f>
        <v>8.5193448613175136</v>
      </c>
      <c r="DZ49" s="19">
        <f t="shared" si="107"/>
        <v>9.6219420109677888E-3</v>
      </c>
      <c r="EA49" s="23"/>
      <c r="EB49" s="19">
        <f t="shared" si="131"/>
        <v>0.13622720527034282</v>
      </c>
      <c r="EC49" s="19">
        <f>(CB49/0.144)/(CH49*CI49)^(1/2)</f>
        <v>7.0601819475425195E-2</v>
      </c>
      <c r="ED49" s="19"/>
      <c r="EE49" s="19">
        <f t="shared" si="92"/>
        <v>39.321630965569994</v>
      </c>
      <c r="EF49" s="19">
        <f t="shared" si="93"/>
        <v>2.5633789614655513</v>
      </c>
      <c r="EG49" s="19">
        <f t="shared" si="94"/>
        <v>17.172624716174536</v>
      </c>
      <c r="EH49" s="19">
        <f t="shared" si="95"/>
        <v>11.865574676137319</v>
      </c>
      <c r="EI49" s="19">
        <f t="shared" si="96"/>
        <v>0.25478227832196704</v>
      </c>
      <c r="EJ49" s="19">
        <f t="shared" si="97"/>
        <v>3.7492383954400448</v>
      </c>
      <c r="EK49" s="19">
        <f t="shared" si="98"/>
        <v>11.11339357031243</v>
      </c>
      <c r="EL49" s="19">
        <f t="shared" si="99"/>
        <v>5.5277283891278275</v>
      </c>
      <c r="EM49" s="19">
        <f t="shared" si="100"/>
        <v>7.028899589855377</v>
      </c>
      <c r="EN49" s="19">
        <f t="shared" si="101"/>
        <v>1.4027484575949551</v>
      </c>
      <c r="EO49" s="19">
        <f t="shared" si="102"/>
        <v>99.999999999999986</v>
      </c>
    </row>
    <row r="50" spans="1:152">
      <c r="A50" s="1" t="s">
        <v>45</v>
      </c>
      <c r="B50" s="1" t="s">
        <v>44</v>
      </c>
      <c r="C50" s="1">
        <v>1</v>
      </c>
      <c r="D50" s="1" t="s">
        <v>43</v>
      </c>
      <c r="E50" s="1" t="s">
        <v>42</v>
      </c>
      <c r="F50" s="2"/>
      <c r="G50" s="14">
        <v>39.6233</v>
      </c>
      <c r="H50" s="14">
        <v>2.6286</v>
      </c>
      <c r="I50" s="14">
        <v>16.9452</v>
      </c>
      <c r="J50" s="14">
        <v>12.2326</v>
      </c>
      <c r="K50" s="14">
        <v>0.2616</v>
      </c>
      <c r="L50" s="14">
        <v>3.9727999999999999</v>
      </c>
      <c r="M50" s="14">
        <v>11.326700000000001</v>
      </c>
      <c r="N50" s="14">
        <v>5.5906000000000002</v>
      </c>
      <c r="O50" s="14">
        <v>6.5125000000000002</v>
      </c>
      <c r="P50" s="14">
        <v>1.4276</v>
      </c>
      <c r="Q50" s="14"/>
      <c r="R50" s="14"/>
      <c r="S50" s="15">
        <f t="shared" si="81"/>
        <v>100.5215</v>
      </c>
      <c r="U50" s="86"/>
      <c r="V50" s="86"/>
      <c r="W50" s="14"/>
      <c r="X50" s="14"/>
      <c r="Y50" s="14"/>
      <c r="Z50" s="14"/>
      <c r="AA50" s="14"/>
      <c r="AB50" s="14"/>
      <c r="AC50" s="14"/>
      <c r="AD50" s="14"/>
      <c r="AF50" s="19">
        <f t="shared" si="82"/>
        <v>0.43080913784512442</v>
      </c>
      <c r="AG50" s="20">
        <f t="shared" si="83"/>
        <v>15758.457</v>
      </c>
      <c r="AH50" s="20">
        <f t="shared" si="84"/>
        <v>54066.775000000001</v>
      </c>
      <c r="AI50" s="20">
        <f t="shared" si="77"/>
        <v>6230.0464000000002</v>
      </c>
      <c r="AJ50" s="19">
        <f t="shared" si="85"/>
        <v>12.103100000000001</v>
      </c>
      <c r="AK50" s="19">
        <f t="shared" si="86"/>
        <v>1.1649017994490751</v>
      </c>
      <c r="AL50" s="19">
        <f t="shared" si="87"/>
        <v>0.85844145873320543</v>
      </c>
      <c r="AM50" s="19">
        <f t="shared" si="88"/>
        <v>0.66843117815074482</v>
      </c>
      <c r="AN50" s="19">
        <f t="shared" si="89"/>
        <v>0.95872487664722328</v>
      </c>
      <c r="AO50" s="118">
        <f t="shared" si="132"/>
        <v>-290.82636985392008</v>
      </c>
      <c r="AP50" s="118">
        <f t="shared" si="133"/>
        <v>13.952584387344553</v>
      </c>
      <c r="AR50" s="118">
        <v>70</v>
      </c>
      <c r="AS50" s="118">
        <v>2459</v>
      </c>
      <c r="AT50" s="118">
        <v>1412</v>
      </c>
      <c r="AU50" s="14">
        <f t="shared" si="90"/>
        <v>0.16436036372538382</v>
      </c>
      <c r="AV50" s="14">
        <f t="shared" si="91"/>
        <v>0.41598719398858502</v>
      </c>
      <c r="AW50" s="118"/>
      <c r="AX50" s="118">
        <v>166.29414653776769</v>
      </c>
      <c r="AY50" s="118">
        <v>2918.8462790943786</v>
      </c>
      <c r="AZ50" s="118">
        <v>3015.2790906211089</v>
      </c>
      <c r="BA50" s="117">
        <v>1.7737492297754121</v>
      </c>
      <c r="BB50" s="117">
        <v>4.2613528704764772</v>
      </c>
      <c r="BC50" s="118">
        <v>242.31366463643249</v>
      </c>
      <c r="BD50" s="117">
        <v>2.2624794899595191</v>
      </c>
      <c r="BE50" s="118">
        <v>35.427788516880902</v>
      </c>
      <c r="BF50" s="118">
        <v>19.384970973356282</v>
      </c>
      <c r="BG50" s="117">
        <v>132.93768412517036</v>
      </c>
      <c r="BH50" s="117">
        <v>93.946431687929177</v>
      </c>
      <c r="BI50" s="117">
        <v>33.453203083993216</v>
      </c>
      <c r="BJ50" s="117">
        <v>285.01</v>
      </c>
      <c r="BK50" s="117">
        <v>181.8</v>
      </c>
      <c r="BL50" s="117">
        <v>5.3874271243279157</v>
      </c>
      <c r="BM50" s="14"/>
      <c r="BN50" s="14">
        <v>232.20047857975339</v>
      </c>
      <c r="BO50" s="117">
        <v>439.12059064226497</v>
      </c>
      <c r="BP50" s="14">
        <v>44.769677917430585</v>
      </c>
      <c r="BQ50" s="14">
        <v>159.46538639866637</v>
      </c>
      <c r="BR50" s="14">
        <v>23.061220136690999</v>
      </c>
      <c r="BS50" s="14">
        <v>6.4365069367827257</v>
      </c>
      <c r="BT50" s="14">
        <v>16.49261215204433</v>
      </c>
      <c r="BU50" s="14">
        <v>1.864035587783526</v>
      </c>
      <c r="BV50" s="14">
        <v>9.0278226202666332</v>
      </c>
      <c r="BW50" s="117">
        <v>1.5804970242203398</v>
      </c>
      <c r="BX50" s="117">
        <v>4.2134047351260131</v>
      </c>
      <c r="BY50" s="117">
        <v>0.52276211798292327</v>
      </c>
      <c r="BZ50" s="117">
        <v>3.2292120705935532</v>
      </c>
      <c r="CA50" s="117">
        <v>0.46538064639060794</v>
      </c>
      <c r="CB50" s="1">
        <v>3.4731090131249709</v>
      </c>
      <c r="CC50" s="22">
        <v>23.839920871671314</v>
      </c>
      <c r="CD50" s="22">
        <v>10.496123747671659</v>
      </c>
      <c r="CE50" s="22"/>
      <c r="CF50" s="22"/>
      <c r="CG50" s="22">
        <f t="shared" si="108"/>
        <v>749.03380187017228</v>
      </c>
      <c r="CH50" s="22">
        <f t="shared" si="109"/>
        <v>543.46607752755563</v>
      </c>
      <c r="CI50" s="22">
        <f t="shared" si="110"/>
        <v>366.96457309369333</v>
      </c>
      <c r="CJ50" s="22">
        <f t="shared" si="111"/>
        <v>265.77564399777731</v>
      </c>
      <c r="CK50" s="22">
        <f>BR50/0.195</f>
        <v>118.26266736764615</v>
      </c>
      <c r="CL50" s="22">
        <f>BS50/0.074</f>
        <v>86.979823470036834</v>
      </c>
      <c r="CM50" s="22">
        <f t="shared" si="112"/>
        <v>63.678039197082356</v>
      </c>
      <c r="CN50" s="22">
        <f t="shared" si="113"/>
        <v>39.325645311888735</v>
      </c>
      <c r="CO50" s="22">
        <f t="shared" si="114"/>
        <v>28.036716212008177</v>
      </c>
      <c r="CP50" s="22">
        <f t="shared" si="115"/>
        <v>22.012493373542338</v>
      </c>
      <c r="CQ50" s="22">
        <f t="shared" si="116"/>
        <v>20.063832072028635</v>
      </c>
      <c r="CR50" s="22">
        <f t="shared" si="117"/>
        <v>16.134633271077881</v>
      </c>
      <c r="CS50" s="22">
        <f t="shared" si="118"/>
        <v>15.450775457385422</v>
      </c>
      <c r="CT50" s="22">
        <f t="shared" si="119"/>
        <v>14.543145199706498</v>
      </c>
      <c r="CU50" s="22">
        <f t="shared" si="120"/>
        <v>16.585693567772875</v>
      </c>
      <c r="CV50" s="117">
        <f t="shared" si="121"/>
        <v>12.985671300352026</v>
      </c>
      <c r="CW50" s="22">
        <f t="shared" si="122"/>
        <v>1.2772303552241659</v>
      </c>
      <c r="CX50" s="20">
        <f t="shared" si="103"/>
        <v>86.680181518151812</v>
      </c>
      <c r="CY50" s="22">
        <f>BO50/CB50</f>
        <v>126.43443928273389</v>
      </c>
      <c r="CZ50" s="22">
        <f>BK50/CD50</f>
        <v>17.320679935802822</v>
      </c>
      <c r="DA50" s="22">
        <f>AX50/BR50</f>
        <v>7.210986476521656</v>
      </c>
      <c r="DB50" s="22">
        <f t="shared" si="104"/>
        <v>1.5677117711771176</v>
      </c>
      <c r="DC50" s="22">
        <f>AZ50/CC50</f>
        <v>126.48024743253775</v>
      </c>
      <c r="DD50" s="22"/>
      <c r="DE50" s="22">
        <f t="shared" si="123"/>
        <v>0</v>
      </c>
      <c r="DF50" s="22">
        <f>CC50/BZ50</f>
        <v>7.3825813698539031</v>
      </c>
      <c r="DG50" s="19">
        <f t="shared" si="124"/>
        <v>5.4344571891529334</v>
      </c>
      <c r="DH50" s="20">
        <f t="shared" si="125"/>
        <v>232.84523499132155</v>
      </c>
      <c r="DI50" s="19">
        <f>(BK50/0.46)/((O50/0.023)*(CD50/0.017))^0.5</f>
        <v>0.94522693038352423</v>
      </c>
      <c r="DJ50" s="22">
        <f>BN50/CA50</f>
        <v>498.94743234522167</v>
      </c>
      <c r="DK50" s="22">
        <f>CG50/CT50</f>
        <v>51.504251080797083</v>
      </c>
      <c r="DL50" s="22">
        <f t="shared" si="126"/>
        <v>6.333645422875775</v>
      </c>
      <c r="DM50" s="22">
        <f t="shared" si="127"/>
        <v>71.906233936835619</v>
      </c>
      <c r="DN50" s="22">
        <f>BR50/BZ50</f>
        <v>7.1414387263987198</v>
      </c>
      <c r="DO50" s="22"/>
      <c r="DP50" s="20">
        <f t="shared" si="128"/>
        <v>903.88807402106386</v>
      </c>
      <c r="DQ50" s="22">
        <f>AY50/BQ50</f>
        <v>18.303948869488266</v>
      </c>
      <c r="DR50" s="22">
        <f>AY50/(((BR50/0.195)*(BT50/0.259))^0.5)</f>
        <v>33.635086388380309</v>
      </c>
      <c r="DS50" s="19">
        <f>(BS50/0.074)/(((BR50/0.195)*(BT50/0.259))^0.5)</f>
        <v>1.0023048823826606</v>
      </c>
      <c r="DT50" s="23">
        <f t="shared" si="105"/>
        <v>3.4260111851805599E-4</v>
      </c>
      <c r="DU50" s="22">
        <f t="shared" si="129"/>
        <v>8.5196625053931641</v>
      </c>
      <c r="DV50" s="22"/>
      <c r="DW50" s="22">
        <f t="shared" si="130"/>
        <v>0.68874518089839221</v>
      </c>
      <c r="DX50" s="22">
        <f t="shared" si="106"/>
        <v>63.787235535595244</v>
      </c>
      <c r="DY50" s="22">
        <f>CC50*100/BJ50</f>
        <v>8.3645910219540767</v>
      </c>
      <c r="DZ50" s="19">
        <f t="shared" si="107"/>
        <v>8.9159485885430927E-3</v>
      </c>
      <c r="EA50" s="23"/>
      <c r="EB50" s="19">
        <f t="shared" si="131"/>
        <v>0.13113267806199841</v>
      </c>
      <c r="EC50" s="19">
        <f>(CB50/0.144)/(CH50*CI50)^(1/2)</f>
        <v>5.4007942515479176E-2</v>
      </c>
      <c r="ED50" s="19"/>
      <c r="EE50" s="19">
        <f t="shared" si="92"/>
        <v>39.417736504130957</v>
      </c>
      <c r="EF50" s="19">
        <f t="shared" si="93"/>
        <v>2.6149629681212478</v>
      </c>
      <c r="EG50" s="19">
        <f t="shared" si="94"/>
        <v>16.857289236630969</v>
      </c>
      <c r="EH50" s="19">
        <f t="shared" si="95"/>
        <v>12.169137945613624</v>
      </c>
      <c r="EI50" s="19">
        <f t="shared" si="96"/>
        <v>0.26024283362265782</v>
      </c>
      <c r="EJ50" s="19">
        <f t="shared" si="97"/>
        <v>3.9521893326303323</v>
      </c>
      <c r="EK50" s="19">
        <f t="shared" si="98"/>
        <v>11.267937704869109</v>
      </c>
      <c r="EL50" s="19">
        <f t="shared" si="99"/>
        <v>5.5615962754236659</v>
      </c>
      <c r="EM50" s="19">
        <f t="shared" si="100"/>
        <v>6.4787135090503023</v>
      </c>
      <c r="EN50" s="19">
        <f t="shared" si="101"/>
        <v>1.4201936899071341</v>
      </c>
      <c r="EO50" s="19">
        <f t="shared" si="102"/>
        <v>100</v>
      </c>
    </row>
    <row r="51" spans="1:152">
      <c r="A51" s="1" t="s">
        <v>45</v>
      </c>
      <c r="B51" s="1" t="s">
        <v>44</v>
      </c>
      <c r="C51" s="1">
        <v>1</v>
      </c>
      <c r="D51" s="1" t="s">
        <v>43</v>
      </c>
      <c r="E51" s="1" t="s">
        <v>42</v>
      </c>
      <c r="F51" s="2"/>
      <c r="G51" s="14">
        <v>39.744599999999998</v>
      </c>
      <c r="H51" s="14">
        <v>2.5535000000000001</v>
      </c>
      <c r="I51" s="14">
        <v>17.6539</v>
      </c>
      <c r="J51" s="14">
        <v>11.8264</v>
      </c>
      <c r="K51" s="14">
        <v>0.2462</v>
      </c>
      <c r="L51" s="14">
        <v>3.7450000000000001</v>
      </c>
      <c r="M51" s="14">
        <v>11.003</v>
      </c>
      <c r="N51" s="14">
        <v>5.5646000000000004</v>
      </c>
      <c r="O51" s="14">
        <v>7.1139000000000001</v>
      </c>
      <c r="P51" s="14">
        <v>1.4721</v>
      </c>
      <c r="Q51" s="14"/>
      <c r="R51" s="14"/>
      <c r="S51" s="15">
        <f t="shared" si="81"/>
        <v>100.92320000000001</v>
      </c>
      <c r="U51" s="86"/>
      <c r="V51" s="86"/>
      <c r="W51" s="14"/>
      <c r="X51" s="14"/>
      <c r="Y51" s="14"/>
      <c r="Z51" s="14"/>
      <c r="AA51" s="14"/>
      <c r="AB51" s="14"/>
      <c r="AC51" s="14"/>
      <c r="AD51" s="14"/>
      <c r="AF51" s="19">
        <f t="shared" si="82"/>
        <v>0.42462148169121622</v>
      </c>
      <c r="AG51" s="20">
        <f t="shared" si="83"/>
        <v>15308.2325</v>
      </c>
      <c r="AH51" s="20">
        <f t="shared" si="84"/>
        <v>59059.597800000003</v>
      </c>
      <c r="AI51" s="20">
        <f t="shared" si="77"/>
        <v>6424.2443999999996</v>
      </c>
      <c r="AJ51" s="19">
        <f t="shared" si="85"/>
        <v>12.6785</v>
      </c>
      <c r="AK51" s="19">
        <f t="shared" si="86"/>
        <v>1.2784207310498508</v>
      </c>
      <c r="AL51" s="19">
        <f t="shared" si="87"/>
        <v>0.78221510001546268</v>
      </c>
      <c r="AM51" s="19">
        <f t="shared" si="88"/>
        <v>0.62326171554160825</v>
      </c>
      <c r="AN51" s="19">
        <f t="shared" si="89"/>
        <v>0.95468738601218273</v>
      </c>
      <c r="AO51" s="118">
        <f t="shared" si="132"/>
        <v>-796.3322889665352</v>
      </c>
      <c r="AP51" s="118">
        <f t="shared" si="133"/>
        <v>0</v>
      </c>
      <c r="AR51" s="118">
        <v>70</v>
      </c>
      <c r="AS51" s="118">
        <v>2459</v>
      </c>
      <c r="AT51" s="118">
        <v>1412</v>
      </c>
      <c r="AU51" s="14">
        <f t="shared" si="90"/>
        <v>0.17899035340650052</v>
      </c>
      <c r="AV51" s="14">
        <f t="shared" si="91"/>
        <v>0.43616018444959903</v>
      </c>
      <c r="AW51" s="118"/>
      <c r="AX51" s="118"/>
      <c r="AY51" s="118"/>
      <c r="AZ51" s="118"/>
      <c r="BB51" s="117"/>
      <c r="BC51" s="118"/>
      <c r="BD51" s="117"/>
      <c r="BE51" s="118"/>
      <c r="BF51" s="118"/>
      <c r="BG51" s="117"/>
      <c r="BH51" s="117"/>
      <c r="BI51" s="117"/>
      <c r="BJ51" s="117">
        <v>261.39</v>
      </c>
      <c r="BK51" s="117">
        <v>166.2</v>
      </c>
      <c r="BL51" s="117"/>
      <c r="BM51" s="14"/>
      <c r="BN51" s="14"/>
      <c r="BO51" s="117"/>
      <c r="BP51" s="14"/>
      <c r="BQ51" s="14"/>
      <c r="BR51" s="14"/>
      <c r="BS51" s="14"/>
      <c r="BT51" s="14"/>
      <c r="BU51" s="14"/>
      <c r="BV51" s="14"/>
      <c r="BW51" s="117"/>
      <c r="BX51" s="117"/>
      <c r="BY51" s="117"/>
      <c r="BZ51" s="117"/>
      <c r="CA51" s="117"/>
      <c r="CB51" s="1">
        <v>0</v>
      </c>
      <c r="CC51" s="22">
        <v>0</v>
      </c>
      <c r="CD51" s="22">
        <v>0</v>
      </c>
      <c r="CE51" s="22"/>
      <c r="CF51" s="22"/>
      <c r="CG51" s="22"/>
      <c r="CH51" s="22"/>
      <c r="CI51" s="22"/>
      <c r="CJ51" s="22"/>
      <c r="CK51" s="22"/>
      <c r="CL51" s="22"/>
      <c r="CM51" s="22"/>
      <c r="CN51" s="22"/>
      <c r="CO51" s="22"/>
      <c r="CP51" s="22"/>
      <c r="CQ51" s="22"/>
      <c r="CR51" s="22"/>
      <c r="CS51" s="22"/>
      <c r="CT51" s="22"/>
      <c r="CU51" s="22"/>
      <c r="CV51" s="117"/>
      <c r="CW51" s="22"/>
      <c r="CX51" s="20">
        <f t="shared" si="103"/>
        <v>92.107295427196149</v>
      </c>
      <c r="CY51" s="22"/>
      <c r="CZ51" s="22"/>
      <c r="DA51" s="22"/>
      <c r="DB51" s="22">
        <f t="shared" si="104"/>
        <v>1.5727436823104692</v>
      </c>
      <c r="DC51" s="22"/>
      <c r="DD51" s="22"/>
      <c r="DE51" s="22"/>
      <c r="DF51" s="22"/>
      <c r="DG51" s="19"/>
      <c r="DH51" s="20"/>
      <c r="DI51" s="19"/>
      <c r="DJ51" s="22"/>
      <c r="DK51" s="22"/>
      <c r="DL51" s="22"/>
      <c r="DM51" s="22"/>
      <c r="DN51" s="22"/>
      <c r="DO51" s="22"/>
      <c r="DP51" s="20"/>
      <c r="DQ51" s="22"/>
      <c r="DR51" s="22"/>
      <c r="DS51" s="19"/>
      <c r="DT51" s="23"/>
      <c r="DU51" s="22"/>
      <c r="DV51" s="22"/>
      <c r="DW51" s="22"/>
      <c r="DX51" s="22">
        <f t="shared" si="106"/>
        <v>63.583151612533001</v>
      </c>
      <c r="DY51" s="22"/>
      <c r="DZ51" s="19"/>
      <c r="EA51" s="23"/>
      <c r="EB51" s="19"/>
      <c r="EC51" s="19"/>
      <c r="ED51" s="19"/>
      <c r="EE51" s="19">
        <f t="shared" si="92"/>
        <v>39.381034291421592</v>
      </c>
      <c r="EF51" s="19">
        <f t="shared" si="93"/>
        <v>2.5301417315344739</v>
      </c>
      <c r="EG51" s="19">
        <f t="shared" si="94"/>
        <v>17.492410070231621</v>
      </c>
      <c r="EH51" s="19">
        <f t="shared" si="95"/>
        <v>11.718217416808026</v>
      </c>
      <c r="EI51" s="19">
        <f t="shared" si="96"/>
        <v>0.24394787323430092</v>
      </c>
      <c r="EJ51" s="19">
        <f t="shared" si="97"/>
        <v>3.7107424259238706</v>
      </c>
      <c r="EK51" s="19">
        <f t="shared" si="98"/>
        <v>10.902349509329865</v>
      </c>
      <c r="EL51" s="19">
        <f t="shared" si="99"/>
        <v>5.5136975442712872</v>
      </c>
      <c r="EM51" s="19">
        <f t="shared" si="100"/>
        <v>7.0488252453350659</v>
      </c>
      <c r="EN51" s="19">
        <f t="shared" si="101"/>
        <v>1.4586338919098878</v>
      </c>
      <c r="EO51" s="19">
        <f t="shared" si="102"/>
        <v>99.999999999999986</v>
      </c>
    </row>
    <row r="52" spans="1:152">
      <c r="A52" s="1" t="s">
        <v>45</v>
      </c>
      <c r="B52" s="1" t="s">
        <v>44</v>
      </c>
      <c r="C52" s="1">
        <v>1</v>
      </c>
      <c r="D52" s="1" t="s">
        <v>43</v>
      </c>
      <c r="E52" s="1" t="s">
        <v>42</v>
      </c>
      <c r="F52" s="2"/>
      <c r="G52" s="14">
        <v>39.959200000000003</v>
      </c>
      <c r="H52" s="14">
        <v>2.5678000000000001</v>
      </c>
      <c r="I52" s="14">
        <v>17.289200000000001</v>
      </c>
      <c r="J52" s="14">
        <v>11.9785</v>
      </c>
      <c r="K52" s="14">
        <v>0.25230000000000002</v>
      </c>
      <c r="L52" s="14">
        <v>3.7439</v>
      </c>
      <c r="M52" s="14">
        <v>10.9436</v>
      </c>
      <c r="N52" s="14">
        <v>5.4573999999999998</v>
      </c>
      <c r="O52" s="14">
        <v>6.6825999999999999</v>
      </c>
      <c r="P52" s="14">
        <v>1.4215</v>
      </c>
      <c r="Q52" s="14"/>
      <c r="R52" s="14"/>
      <c r="S52" s="15">
        <f t="shared" si="81"/>
        <v>100.29599999999999</v>
      </c>
      <c r="U52" s="86"/>
      <c r="V52" s="86"/>
      <c r="W52" s="14"/>
      <c r="X52" s="14"/>
      <c r="Y52" s="14"/>
      <c r="Z52" s="14"/>
      <c r="AA52" s="14"/>
      <c r="AB52" s="14"/>
      <c r="AC52" s="14"/>
      <c r="AD52" s="14"/>
      <c r="AF52" s="19">
        <f t="shared" si="82"/>
        <v>0.42143074415015297</v>
      </c>
      <c r="AG52" s="20">
        <f t="shared" si="83"/>
        <v>15393.961000000001</v>
      </c>
      <c r="AH52" s="20">
        <f t="shared" si="84"/>
        <v>55478.945200000002</v>
      </c>
      <c r="AI52" s="20">
        <f t="shared" si="77"/>
        <v>6203.4260000000004</v>
      </c>
      <c r="AJ52" s="19">
        <f t="shared" si="85"/>
        <v>12.14</v>
      </c>
      <c r="AK52" s="19">
        <f t="shared" si="86"/>
        <v>1.2245025103529152</v>
      </c>
      <c r="AL52" s="19">
        <f t="shared" si="87"/>
        <v>0.81665818693322956</v>
      </c>
      <c r="AM52" s="19">
        <f t="shared" si="88"/>
        <v>0.63297318557249604</v>
      </c>
      <c r="AN52" s="19">
        <f t="shared" si="89"/>
        <v>0.9376244725901689</v>
      </c>
      <c r="AO52" s="118">
        <f t="shared" si="132"/>
        <v>-336.59509758156025</v>
      </c>
      <c r="AP52" s="118">
        <f t="shared" si="133"/>
        <v>14.406319090425438</v>
      </c>
      <c r="AR52" s="118">
        <v>70</v>
      </c>
      <c r="AS52" s="118">
        <v>2459</v>
      </c>
      <c r="AT52" s="118">
        <v>1412</v>
      </c>
      <c r="AU52" s="14">
        <f t="shared" si="90"/>
        <v>0.16723558029189772</v>
      </c>
      <c r="AV52" s="14">
        <f t="shared" si="91"/>
        <v>0.41835936212501468</v>
      </c>
      <c r="AW52" s="118"/>
      <c r="AX52" s="118">
        <v>178.43757239347681</v>
      </c>
      <c r="AY52" s="118">
        <v>2676.1332437954329</v>
      </c>
      <c r="AZ52" s="118">
        <v>2984.9909278985238</v>
      </c>
      <c r="BA52" s="117">
        <v>1.7946146110918884</v>
      </c>
      <c r="BB52" s="117">
        <v>4.1794056746427941</v>
      </c>
      <c r="BC52" s="118">
        <v>246.52562479911839</v>
      </c>
      <c r="BD52" s="117">
        <v>1.9896605860259722</v>
      </c>
      <c r="BE52" s="118">
        <v>34.335501525151642</v>
      </c>
      <c r="BF52" s="118">
        <v>18.842868216100879</v>
      </c>
      <c r="BG52" s="117">
        <v>115.5454008249569</v>
      </c>
      <c r="BH52" s="117">
        <v>92.880948288771364</v>
      </c>
      <c r="BI52" s="117">
        <v>33.437879999139973</v>
      </c>
      <c r="BJ52" s="117">
        <v>265.94</v>
      </c>
      <c r="BK52" s="117">
        <v>167.47000000000003</v>
      </c>
      <c r="BL52" s="117">
        <v>5.3084113511634596</v>
      </c>
      <c r="BM52" s="14"/>
      <c r="BN52" s="14">
        <v>226.77302524000251</v>
      </c>
      <c r="BO52" s="117">
        <v>431.4049391813362</v>
      </c>
      <c r="BP52" s="14">
        <v>44.012912555159652</v>
      </c>
      <c r="BQ52" s="14">
        <v>156.9643075424508</v>
      </c>
      <c r="BR52" s="14">
        <v>22.627679768949776</v>
      </c>
      <c r="BS52" s="14">
        <v>6.2800976535569033</v>
      </c>
      <c r="BT52" s="14">
        <v>16.172035503620815</v>
      </c>
      <c r="BU52" s="14">
        <v>1.8220677956261271</v>
      </c>
      <c r="BV52" s="14">
        <v>8.8314896397965672</v>
      </c>
      <c r="BW52" s="117">
        <v>1.534077470069569</v>
      </c>
      <c r="BX52" s="117">
        <v>4.1372710548070719</v>
      </c>
      <c r="BY52" s="117">
        <v>0.52053260913440058</v>
      </c>
      <c r="BZ52" s="117">
        <v>3.188158881051443</v>
      </c>
      <c r="CA52" s="117">
        <v>0.46265973392598664</v>
      </c>
      <c r="CB52" s="1">
        <v>7.5915036428137395</v>
      </c>
      <c r="CC52" s="22">
        <v>23.290217935362815</v>
      </c>
      <c r="CD52" s="22">
        <v>8.7125282432682969</v>
      </c>
      <c r="CE52" s="22"/>
      <c r="CF52" s="22"/>
      <c r="CG52" s="22">
        <f>BN52/0.31</f>
        <v>731.52588787097579</v>
      </c>
      <c r="CH52" s="22">
        <f>BO52/0.808</f>
        <v>533.9170039372973</v>
      </c>
      <c r="CI52" s="22">
        <f>BP52/0.122</f>
        <v>360.76157832098073</v>
      </c>
      <c r="CJ52" s="22">
        <f>BQ52/0.6</f>
        <v>261.60717923741799</v>
      </c>
      <c r="CK52" s="22">
        <f>BR52/0.195</f>
        <v>116.03938343051166</v>
      </c>
      <c r="CL52" s="22">
        <f>BS52/0.074</f>
        <v>84.86618450752573</v>
      </c>
      <c r="CM52" s="22">
        <f>BT52/0.259</f>
        <v>62.440291519771485</v>
      </c>
      <c r="CN52" s="22">
        <f>BU52/0.0474</f>
        <v>38.440248852871882</v>
      </c>
      <c r="CO52" s="22">
        <f>BV52/0.322</f>
        <v>27.42698645899555</v>
      </c>
      <c r="CP52" s="22">
        <f>BW52/0.0718</f>
        <v>21.365981477292046</v>
      </c>
      <c r="CQ52" s="22">
        <f>BX52/0.21</f>
        <v>19.701290737176535</v>
      </c>
      <c r="CR52" s="22">
        <f>BY52/0.0324</f>
        <v>16.065821269580265</v>
      </c>
      <c r="CS52" s="22">
        <f>BZ52/0.209</f>
        <v>15.2543487131648</v>
      </c>
      <c r="CT52" s="22">
        <f>CA52/0.032</f>
        <v>14.458116685187083</v>
      </c>
      <c r="CU52" s="22">
        <f>AZ52/BK52</f>
        <v>17.824033724837424</v>
      </c>
      <c r="CV52" s="117">
        <f>AZ52/BN52</f>
        <v>13.162901208110597</v>
      </c>
      <c r="CW52" s="22">
        <f>BN52/BK52</f>
        <v>1.3541113348062488</v>
      </c>
      <c r="CX52" s="20">
        <f t="shared" si="103"/>
        <v>91.920708186540864</v>
      </c>
      <c r="CY52" s="22">
        <f>BO52/CB52</f>
        <v>56.827337439232117</v>
      </c>
      <c r="CZ52" s="22">
        <f>BK52/CD52</f>
        <v>19.221745436451826</v>
      </c>
      <c r="DA52" s="22">
        <f>AX52/BR52</f>
        <v>7.8858095136352855</v>
      </c>
      <c r="DB52" s="22">
        <f t="shared" si="104"/>
        <v>1.587985907923807</v>
      </c>
      <c r="DC52" s="22">
        <f>AZ52/CC52</f>
        <v>128.1650062778609</v>
      </c>
      <c r="DD52" s="22"/>
      <c r="DE52" s="22">
        <f>BM52/BZ52</f>
        <v>0</v>
      </c>
      <c r="DF52" s="22">
        <f>CC52/BZ52</f>
        <v>7.3052249916985907</v>
      </c>
      <c r="DG52" s="19">
        <f>BK52/BI52</f>
        <v>5.0083916804626183</v>
      </c>
      <c r="DH52" s="20">
        <f>AH52/BN52</f>
        <v>244.64525770331161</v>
      </c>
      <c r="DI52" s="19">
        <f>(BK52/0.46)/((O52/0.023)*(CD52/0.017))^0.5</f>
        <v>0.94345835468952399</v>
      </c>
      <c r="DJ52" s="22">
        <f>BN52/CA52</f>
        <v>490.15077088225752</v>
      </c>
      <c r="DK52" s="22">
        <f>CG52/CT52</f>
        <v>50.596208607200772</v>
      </c>
      <c r="DL52" s="22">
        <f>CG52/CK52</f>
        <v>6.3041173284847591</v>
      </c>
      <c r="DM52" s="22">
        <f>BN52/BZ52</f>
        <v>71.129775428636606</v>
      </c>
      <c r="DN52" s="22">
        <f>BR52/BZ52</f>
        <v>7.0974128370563676</v>
      </c>
      <c r="DO52" s="22"/>
      <c r="DP52" s="20">
        <f>AY52/BZ52</f>
        <v>839.39770370316489</v>
      </c>
      <c r="DQ52" s="22">
        <f>AY52/BQ52</f>
        <v>17.049310672565966</v>
      </c>
      <c r="DR52" s="22">
        <f>AY52/(((BR52/0.195)*(BT52/0.259))^0.5)</f>
        <v>31.439278129298856</v>
      </c>
      <c r="DS52" s="19">
        <f>(BS52/0.074)/(((BR52/0.195)*(BT52/0.259))^0.5)</f>
        <v>0.99700998995117696</v>
      </c>
      <c r="DT52" s="23">
        <f>1/AY52</f>
        <v>3.7367347172211329E-4</v>
      </c>
      <c r="DU52" s="22">
        <f>BJ52/BI52</f>
        <v>7.9532554099374728</v>
      </c>
      <c r="DV52" s="22"/>
      <c r="DW52" s="22">
        <f>1.74+LOG(BK52/BI52)-1.92*LOG(BJ52/BI52)</f>
        <v>0.71065202070479194</v>
      </c>
      <c r="DX52" s="22">
        <f t="shared" si="106"/>
        <v>62.972851019026862</v>
      </c>
      <c r="DY52" s="22">
        <f>CC52*100/BJ52</f>
        <v>8.7576964485834452</v>
      </c>
      <c r="DZ52" s="19">
        <f>EI52*100/AY52</f>
        <v>9.3999578164123392E-3</v>
      </c>
      <c r="EA52" s="23"/>
      <c r="EB52" s="19">
        <f>CC52/BK52</f>
        <v>0.13907098546224883</v>
      </c>
      <c r="EC52" s="19">
        <f>(CB52/0.144)/(CH52*CI52)^(1/2)</f>
        <v>0.12012082253146412</v>
      </c>
      <c r="ED52" s="19"/>
      <c r="EE52" s="19">
        <f t="shared" si="92"/>
        <v>39.841269841269842</v>
      </c>
      <c r="EF52" s="19">
        <f t="shared" si="93"/>
        <v>2.5602217436388295</v>
      </c>
      <c r="EG52" s="19">
        <f t="shared" si="94"/>
        <v>17.238175001994101</v>
      </c>
      <c r="EH52" s="19">
        <f t="shared" si="95"/>
        <v>11.943148281087982</v>
      </c>
      <c r="EI52" s="19">
        <f t="shared" si="96"/>
        <v>0.25155539602775789</v>
      </c>
      <c r="EJ52" s="19">
        <f t="shared" si="97"/>
        <v>3.7328507617452344</v>
      </c>
      <c r="EK52" s="19">
        <f t="shared" si="98"/>
        <v>10.911302544468374</v>
      </c>
      <c r="EL52" s="19">
        <f t="shared" si="99"/>
        <v>5.4412937704394997</v>
      </c>
      <c r="EM52" s="19">
        <f t="shared" si="100"/>
        <v>6.6628778814708465</v>
      </c>
      <c r="EN52" s="19">
        <f t="shared" si="101"/>
        <v>1.4173047778575418</v>
      </c>
      <c r="EO52" s="19">
        <f t="shared" si="102"/>
        <v>100</v>
      </c>
    </row>
    <row r="53" spans="1:152">
      <c r="A53" s="1" t="s">
        <v>45</v>
      </c>
      <c r="B53" s="1" t="s">
        <v>44</v>
      </c>
      <c r="C53" s="1">
        <v>1</v>
      </c>
      <c r="D53" s="1" t="s">
        <v>43</v>
      </c>
      <c r="E53" s="1" t="s">
        <v>42</v>
      </c>
      <c r="F53" s="2"/>
      <c r="G53" s="14">
        <v>40.043700000000001</v>
      </c>
      <c r="H53" s="14">
        <v>2.6362000000000001</v>
      </c>
      <c r="I53" s="14">
        <v>17.183499999999999</v>
      </c>
      <c r="J53" s="14">
        <v>12.3231</v>
      </c>
      <c r="K53" s="14">
        <v>0.26429999999999998</v>
      </c>
      <c r="L53" s="14">
        <v>3.7734000000000001</v>
      </c>
      <c r="M53" s="14">
        <v>11.331</v>
      </c>
      <c r="N53" s="14">
        <v>5.6597</v>
      </c>
      <c r="O53" s="14">
        <v>6.3912000000000004</v>
      </c>
      <c r="P53" s="14">
        <v>1.4487000000000001</v>
      </c>
      <c r="Q53" s="14"/>
      <c r="R53" s="14"/>
      <c r="S53" s="15">
        <f t="shared" si="81"/>
        <v>101.0548</v>
      </c>
      <c r="U53" s="86"/>
      <c r="V53" s="86"/>
      <c r="W53" s="14"/>
      <c r="X53" s="14"/>
      <c r="Y53" s="14"/>
      <c r="Z53" s="14"/>
      <c r="AA53" s="14"/>
      <c r="AB53" s="14"/>
      <c r="AC53" s="14"/>
      <c r="AD53" s="14"/>
      <c r="AF53" s="19">
        <f t="shared" si="82"/>
        <v>0.41643720773658016</v>
      </c>
      <c r="AG53" s="20">
        <f t="shared" si="83"/>
        <v>15804.019</v>
      </c>
      <c r="AH53" s="20">
        <f t="shared" si="84"/>
        <v>53059.742400000003</v>
      </c>
      <c r="AI53" s="20">
        <f t="shared" si="77"/>
        <v>6322.1268</v>
      </c>
      <c r="AJ53" s="19">
        <f t="shared" si="85"/>
        <v>12.0509</v>
      </c>
      <c r="AK53" s="19">
        <f t="shared" si="86"/>
        <v>1.1292471332402778</v>
      </c>
      <c r="AL53" s="19">
        <f t="shared" si="87"/>
        <v>0.88554575040680927</v>
      </c>
      <c r="AM53" s="19">
        <f t="shared" si="88"/>
        <v>0.65941164489190207</v>
      </c>
      <c r="AN53" s="19">
        <f t="shared" si="89"/>
        <v>0.94440393815512935</v>
      </c>
      <c r="AO53" s="118">
        <f t="shared" si="132"/>
        <v>-337.96853186828304</v>
      </c>
      <c r="AP53" s="118">
        <f t="shared" si="133"/>
        <v>14.390944039713283</v>
      </c>
      <c r="AR53" s="118">
        <v>70</v>
      </c>
      <c r="AS53" s="118">
        <v>2459</v>
      </c>
      <c r="AT53" s="118">
        <v>1412</v>
      </c>
      <c r="AU53" s="14">
        <f t="shared" si="90"/>
        <v>0.15960563084829824</v>
      </c>
      <c r="AV53" s="14">
        <f t="shared" si="91"/>
        <v>0.40257769127138149</v>
      </c>
      <c r="AW53" s="118"/>
      <c r="AX53" s="118">
        <v>171.19815710374613</v>
      </c>
      <c r="AY53" s="118">
        <v>2773.8155460879225</v>
      </c>
      <c r="AZ53" s="118">
        <v>2994.2019409037439</v>
      </c>
      <c r="BA53" s="117">
        <v>1.7482891212800857</v>
      </c>
      <c r="BB53" s="117">
        <v>4.1113680614881298</v>
      </c>
      <c r="BC53" s="118">
        <v>249.8628432738704</v>
      </c>
      <c r="BD53" s="117">
        <v>1.5342327790439643</v>
      </c>
      <c r="BE53" s="118">
        <v>35.620193888929229</v>
      </c>
      <c r="BF53" s="118">
        <v>18.834807470318527</v>
      </c>
      <c r="BG53" s="117">
        <v>141.44064003620608</v>
      </c>
      <c r="BH53" s="117">
        <v>97.15002008594135</v>
      </c>
      <c r="BI53" s="117">
        <v>33.334745441693599</v>
      </c>
      <c r="BJ53" s="117">
        <v>266.67</v>
      </c>
      <c r="BK53" s="117">
        <v>168.5</v>
      </c>
      <c r="BL53" s="117">
        <v>5.3953663918819839</v>
      </c>
      <c r="BM53" s="14"/>
      <c r="BN53" s="14">
        <v>230.45377630350336</v>
      </c>
      <c r="BO53" s="117">
        <v>441.35721726383838</v>
      </c>
      <c r="BP53" s="14">
        <v>44.867304418614665</v>
      </c>
      <c r="BQ53" s="14">
        <v>159.39224245706674</v>
      </c>
      <c r="BR53" s="14">
        <v>23.052935563099464</v>
      </c>
      <c r="BS53" s="14">
        <v>6.4580788619780609</v>
      </c>
      <c r="BT53" s="14">
        <v>16.608742175085251</v>
      </c>
      <c r="BU53" s="14">
        <v>1.867834111261703</v>
      </c>
      <c r="BV53" s="14">
        <v>9.0393882253986408</v>
      </c>
      <c r="BW53" s="117">
        <v>1.5769940408979828</v>
      </c>
      <c r="BX53" s="117">
        <v>4.2566830250688348</v>
      </c>
      <c r="BY53" s="117">
        <v>0.52872516396973501</v>
      </c>
      <c r="BZ53" s="117">
        <v>3.2836943198950546</v>
      </c>
      <c r="CA53" s="117">
        <v>0.46979007364573211</v>
      </c>
      <c r="CB53" s="1">
        <v>8.1759716339601596</v>
      </c>
      <c r="CC53" s="22">
        <v>23.556779622054727</v>
      </c>
      <c r="CD53" s="22">
        <v>10.277712694788326</v>
      </c>
      <c r="CE53" s="22"/>
      <c r="CF53" s="22"/>
      <c r="CG53" s="22">
        <f>BN53/0.31</f>
        <v>743.399278398398</v>
      </c>
      <c r="CH53" s="22">
        <f>BO53/0.808</f>
        <v>546.23417978197813</v>
      </c>
      <c r="CI53" s="22">
        <f>BP53/0.122</f>
        <v>367.76479031651365</v>
      </c>
      <c r="CJ53" s="22">
        <f>BQ53/0.6</f>
        <v>265.65373742844457</v>
      </c>
      <c r="CK53" s="22">
        <f>BR53/0.195</f>
        <v>118.22018237486904</v>
      </c>
      <c r="CL53" s="22">
        <f>BS53/0.074</f>
        <v>87.271335972676496</v>
      </c>
      <c r="CM53" s="22">
        <f>BT53/0.259</f>
        <v>64.126417664421808</v>
      </c>
      <c r="CN53" s="22">
        <f>BU53/0.0474</f>
        <v>39.40578293801061</v>
      </c>
      <c r="CO53" s="22">
        <f>BV53/0.322</f>
        <v>28.072634240368448</v>
      </c>
      <c r="CP53" s="22">
        <f>BW53/0.0718</f>
        <v>21.963705304985833</v>
      </c>
      <c r="CQ53" s="22">
        <f>BX53/0.21</f>
        <v>20.269919166994452</v>
      </c>
      <c r="CR53" s="22">
        <f>BY53/0.0324</f>
        <v>16.318677900300465</v>
      </c>
      <c r="CS53" s="22">
        <f>BZ53/0.209</f>
        <v>15.711456076052894</v>
      </c>
      <c r="CT53" s="22">
        <f>CA53/0.032</f>
        <v>14.680939801429128</v>
      </c>
      <c r="CU53" s="22">
        <f>AZ53/BK53</f>
        <v>17.769744456402041</v>
      </c>
      <c r="CV53" s="117">
        <f>AZ53/BN53</f>
        <v>12.992635611926078</v>
      </c>
      <c r="CW53" s="22">
        <f>BN53/BK53</f>
        <v>1.3676781976469041</v>
      </c>
      <c r="CX53" s="20">
        <f t="shared" si="103"/>
        <v>93.792397626112759</v>
      </c>
      <c r="CY53" s="22">
        <f>BO53/CB53</f>
        <v>53.982234408763489</v>
      </c>
      <c r="CZ53" s="22">
        <f>BK53/CD53</f>
        <v>16.394698412365994</v>
      </c>
      <c r="DA53" s="22">
        <f>AX53/BR53</f>
        <v>7.4263061480890444</v>
      </c>
      <c r="DB53" s="22">
        <f t="shared" si="104"/>
        <v>1.5826112759643918</v>
      </c>
      <c r="DC53" s="22">
        <f>AZ53/CC53</f>
        <v>127.10574148685679</v>
      </c>
      <c r="DD53" s="22"/>
      <c r="DE53" s="22">
        <f>BM53/BZ53</f>
        <v>0</v>
      </c>
      <c r="DF53" s="22">
        <f>CC53/BZ53</f>
        <v>7.17386496036805</v>
      </c>
      <c r="DG53" s="19">
        <f>BK53/BI53</f>
        <v>5.0547858628387123</v>
      </c>
      <c r="DH53" s="20">
        <f>AH53/BN53</f>
        <v>230.24028180870988</v>
      </c>
      <c r="DI53" s="19">
        <f>(BK53/0.46)/((O53/0.023)*(CD53/0.017))^0.5</f>
        <v>0.8936984641084591</v>
      </c>
      <c r="DJ53" s="22">
        <f>BN53/CA53</f>
        <v>490.54628701518322</v>
      </c>
      <c r="DK53" s="22">
        <f>CG53/CT53</f>
        <v>50.637036078986661</v>
      </c>
      <c r="DL53" s="22">
        <f>CG53/CK53</f>
        <v>6.2882602907947129</v>
      </c>
      <c r="DM53" s="22">
        <f>BN53/BZ53</f>
        <v>70.181251314180969</v>
      </c>
      <c r="DN53" s="22">
        <f>BR53/BZ53</f>
        <v>7.0204267868137693</v>
      </c>
      <c r="DO53" s="22"/>
      <c r="DP53" s="20">
        <f>AY53/BZ53</f>
        <v>844.7240442821037</v>
      </c>
      <c r="DQ53" s="22">
        <f>AY53/BQ53</f>
        <v>17.402450102520305</v>
      </c>
      <c r="DR53" s="22">
        <f>AY53/(((BR53/0.195)*(BT53/0.259))^0.5)</f>
        <v>31.857616189245096</v>
      </c>
      <c r="DS53" s="19">
        <f>(BS53/0.074)/(((BR53/0.195)*(BT53/0.259))^0.5)</f>
        <v>1.0023221369789164</v>
      </c>
      <c r="DT53" s="23">
        <f>1/AY53</f>
        <v>3.6051423873889512E-4</v>
      </c>
      <c r="DU53" s="22">
        <f>BJ53/BI53</f>
        <v>7.9997611041139427</v>
      </c>
      <c r="DV53" s="22"/>
      <c r="DW53" s="22">
        <f>1.74+LOG(BK53/BI53)-1.92*LOG(BJ53/BI53)</f>
        <v>0.70979488781752686</v>
      </c>
      <c r="DX53" s="22">
        <f t="shared" si="106"/>
        <v>63.186710166122921</v>
      </c>
      <c r="DY53" s="22">
        <f>CC53*100/BJ53</f>
        <v>8.8336819372463076</v>
      </c>
      <c r="DZ53" s="19">
        <f>EI53*100/AY53</f>
        <v>9.4289349242876099E-3</v>
      </c>
      <c r="EA53" s="23"/>
      <c r="EB53" s="19">
        <f>CC53/BK53</f>
        <v>0.13980284642168977</v>
      </c>
      <c r="EC53" s="19">
        <f>(CB53/0.144)/(CH53*CI53)^(1/2)</f>
        <v>0.12667834303173198</v>
      </c>
      <c r="ED53" s="19"/>
      <c r="EE53" s="19">
        <f t="shared" si="92"/>
        <v>39.6257278229238</v>
      </c>
      <c r="EF53" s="19">
        <f t="shared" si="93"/>
        <v>2.608683605330969</v>
      </c>
      <c r="EG53" s="19">
        <f t="shared" si="94"/>
        <v>17.004140327822132</v>
      </c>
      <c r="EH53" s="19">
        <f t="shared" si="95"/>
        <v>12.194472701939937</v>
      </c>
      <c r="EI53" s="19">
        <f t="shared" si="96"/>
        <v>0.26154126276040324</v>
      </c>
      <c r="EJ53" s="19">
        <f t="shared" si="97"/>
        <v>3.7340136242909789</v>
      </c>
      <c r="EK53" s="19">
        <f t="shared" si="98"/>
        <v>11.212728143541918</v>
      </c>
      <c r="EL53" s="19">
        <f t="shared" si="99"/>
        <v>5.6006246115968761</v>
      </c>
      <c r="EM53" s="19">
        <f t="shared" si="100"/>
        <v>6.3244892870007163</v>
      </c>
      <c r="EN53" s="19">
        <f t="shared" si="101"/>
        <v>1.4335786127922672</v>
      </c>
      <c r="EO53" s="19">
        <f t="shared" si="102"/>
        <v>99.999999999999986</v>
      </c>
    </row>
    <row r="54" spans="1:152">
      <c r="A54" s="1" t="s">
        <v>45</v>
      </c>
      <c r="B54" s="1" t="s">
        <v>44</v>
      </c>
      <c r="C54" s="1">
        <v>1</v>
      </c>
      <c r="D54" s="1" t="s">
        <v>43</v>
      </c>
      <c r="E54" s="1" t="s">
        <v>42</v>
      </c>
      <c r="F54" s="2"/>
      <c r="G54" s="14">
        <v>39.854500000000002</v>
      </c>
      <c r="H54" s="14">
        <v>2.617</v>
      </c>
      <c r="I54" s="14">
        <v>16.980799999999999</v>
      </c>
      <c r="J54" s="14">
        <v>12.3934</v>
      </c>
      <c r="K54" s="14">
        <v>0.26050000000000001</v>
      </c>
      <c r="L54" s="14">
        <v>3.9659</v>
      </c>
      <c r="M54" s="14">
        <v>11.27</v>
      </c>
      <c r="N54" s="14">
        <v>5.5167000000000002</v>
      </c>
      <c r="O54" s="14">
        <v>6.6161000000000003</v>
      </c>
      <c r="P54" s="14">
        <v>1.4398</v>
      </c>
      <c r="Q54" s="14"/>
      <c r="R54" s="14"/>
      <c r="S54" s="15">
        <f t="shared" si="81"/>
        <v>100.9147</v>
      </c>
      <c r="U54" s="86"/>
      <c r="V54" s="86"/>
      <c r="W54" s="14"/>
      <c r="X54" s="14"/>
      <c r="Y54" s="14"/>
      <c r="Z54" s="14"/>
      <c r="AA54" s="14"/>
      <c r="AB54" s="14"/>
      <c r="AC54" s="14"/>
      <c r="AD54" s="14"/>
      <c r="AF54" s="19">
        <f t="shared" si="82"/>
        <v>0.42718428985342599</v>
      </c>
      <c r="AG54" s="20">
        <f t="shared" si="83"/>
        <v>15688.914999999999</v>
      </c>
      <c r="AH54" s="20">
        <f t="shared" si="84"/>
        <v>54926.862200000003</v>
      </c>
      <c r="AI54" s="20">
        <f t="shared" si="77"/>
        <v>6283.2871999999998</v>
      </c>
      <c r="AJ54" s="19">
        <f t="shared" si="85"/>
        <v>12.1328</v>
      </c>
      <c r="AK54" s="19">
        <f t="shared" si="86"/>
        <v>1.1992858049196078</v>
      </c>
      <c r="AL54" s="19">
        <f t="shared" si="87"/>
        <v>0.8338295974970148</v>
      </c>
      <c r="AM54" s="19">
        <f t="shared" si="88"/>
        <v>0.6636907566192406</v>
      </c>
      <c r="AN54" s="19">
        <f t="shared" si="89"/>
        <v>0.95615931961249423</v>
      </c>
      <c r="AO54" s="118">
        <f t="shared" si="132"/>
        <v>-339.6757036854637</v>
      </c>
      <c r="AP54" s="118">
        <f t="shared" si="133"/>
        <v>14.472880138045523</v>
      </c>
      <c r="AR54" s="118">
        <v>70</v>
      </c>
      <c r="AS54" s="118">
        <v>2459</v>
      </c>
      <c r="AT54" s="118">
        <v>1412</v>
      </c>
      <c r="AU54" s="14">
        <f t="shared" si="90"/>
        <v>0.16600634809118167</v>
      </c>
      <c r="AV54" s="14">
        <f t="shared" si="91"/>
        <v>0.42171867945073177</v>
      </c>
      <c r="AW54" s="118"/>
      <c r="AX54" s="118">
        <v>169.36074228766469</v>
      </c>
      <c r="AY54" s="118">
        <v>2840.7000263467312</v>
      </c>
      <c r="AZ54" s="118">
        <v>2950.2525158821386</v>
      </c>
      <c r="BA54" s="117">
        <v>1.6886593890193253</v>
      </c>
      <c r="BB54" s="117">
        <v>3.8698932335868288</v>
      </c>
      <c r="BC54" s="118">
        <v>255.78107386559398</v>
      </c>
      <c r="BD54" s="117">
        <v>1.5632058929368124</v>
      </c>
      <c r="BE54" s="118">
        <v>36.10949048810609</v>
      </c>
      <c r="BF54" s="118">
        <v>18.23718372525104</v>
      </c>
      <c r="BG54" s="117">
        <v>131.60497446847552</v>
      </c>
      <c r="BH54" s="117">
        <v>96.230476418847843</v>
      </c>
      <c r="BI54" s="117">
        <v>32.812056132101063</v>
      </c>
      <c r="BJ54" s="117">
        <v>262.33</v>
      </c>
      <c r="BK54" s="117">
        <v>167.6</v>
      </c>
      <c r="BL54" s="117">
        <v>5.0583320293148768</v>
      </c>
      <c r="BM54" s="14"/>
      <c r="BN54" s="14">
        <v>228.06009666256233</v>
      </c>
      <c r="BO54" s="117">
        <v>434.3058017192613</v>
      </c>
      <c r="BP54" s="14">
        <v>44.053477421857977</v>
      </c>
      <c r="BQ54" s="14">
        <v>156.55589049119757</v>
      </c>
      <c r="BR54" s="14">
        <v>22.561152187015246</v>
      </c>
      <c r="BS54" s="14">
        <v>6.280625153162922</v>
      </c>
      <c r="BT54" s="14">
        <v>16.252708449615469</v>
      </c>
      <c r="BU54" s="14">
        <v>1.820323143320371</v>
      </c>
      <c r="BV54" s="14">
        <v>8.7925128730506508</v>
      </c>
      <c r="BW54" s="117">
        <v>1.5384078992644674</v>
      </c>
      <c r="BX54" s="117">
        <v>4.0881096594086417</v>
      </c>
      <c r="BY54" s="117">
        <v>0.50787472691137614</v>
      </c>
      <c r="BZ54" s="117">
        <v>3.1363407448840839</v>
      </c>
      <c r="CA54" s="117">
        <v>0.44727526151852837</v>
      </c>
      <c r="CB54" s="1">
        <v>6.5850129689951578</v>
      </c>
      <c r="CC54" s="22">
        <v>22.455060035090408</v>
      </c>
      <c r="CD54" s="22">
        <v>9.6542549006656326</v>
      </c>
      <c r="CE54" s="22"/>
      <c r="CF54" s="22"/>
      <c r="CG54" s="22">
        <f>BN54/0.31</f>
        <v>735.67773116955595</v>
      </c>
      <c r="CH54" s="22">
        <f>BO54/0.808</f>
        <v>537.50718034562033</v>
      </c>
      <c r="CI54" s="22">
        <f>BP54/0.122</f>
        <v>361.09407722834408</v>
      </c>
      <c r="CJ54" s="22">
        <f>BQ54/0.6</f>
        <v>260.92648415199596</v>
      </c>
      <c r="CK54" s="22">
        <f>BR54/0.195</f>
        <v>115.69821634366792</v>
      </c>
      <c r="CL54" s="22">
        <f>BS54/0.074</f>
        <v>84.873312880580031</v>
      </c>
      <c r="CM54" s="22">
        <f>BT54/0.259</f>
        <v>62.751770075735401</v>
      </c>
      <c r="CN54" s="22">
        <f>BU54/0.0474</f>
        <v>38.403441842201921</v>
      </c>
      <c r="CO54" s="22">
        <f>BV54/0.322</f>
        <v>27.305940599536182</v>
      </c>
      <c r="CP54" s="22">
        <f>BW54/0.0718</f>
        <v>21.426293861622106</v>
      </c>
      <c r="CQ54" s="22">
        <f>BX54/0.21</f>
        <v>19.467188854326867</v>
      </c>
      <c r="CR54" s="22">
        <f>BY54/0.0324</f>
        <v>15.675145892326425</v>
      </c>
      <c r="CS54" s="22">
        <f>BZ54/0.209</f>
        <v>15.006415047292268</v>
      </c>
      <c r="CT54" s="22">
        <f>CA54/0.032</f>
        <v>13.977351922454011</v>
      </c>
      <c r="CU54" s="22">
        <f>AZ54/BK54</f>
        <v>17.60293863891491</v>
      </c>
      <c r="CV54" s="117">
        <f>AZ54/BN54</f>
        <v>12.936294244614531</v>
      </c>
      <c r="CW54" s="22">
        <f>BN54/BK54</f>
        <v>1.360740433547508</v>
      </c>
      <c r="CX54" s="20">
        <f t="shared" si="103"/>
        <v>93.609278042959431</v>
      </c>
      <c r="CY54" s="22">
        <f>BO54/CB54</f>
        <v>65.953674467179425</v>
      </c>
      <c r="CZ54" s="22">
        <f>BK54/CD54</f>
        <v>17.360221138188972</v>
      </c>
      <c r="DA54" s="22">
        <f>AX54/BR54</f>
        <v>7.5067417161938161</v>
      </c>
      <c r="DB54" s="22">
        <f t="shared" si="104"/>
        <v>1.5652147971360382</v>
      </c>
      <c r="DC54" s="22">
        <f>AZ54/CC54</f>
        <v>131.38475298092251</v>
      </c>
      <c r="DD54" s="22"/>
      <c r="DE54" s="22">
        <f>BM54/BZ54</f>
        <v>0</v>
      </c>
      <c r="DF54" s="22">
        <f>CC54/BZ54</f>
        <v>7.1596366152875799</v>
      </c>
      <c r="DG54" s="19">
        <f>BK54/BI54</f>
        <v>5.1078786201402249</v>
      </c>
      <c r="DH54" s="20">
        <f>AH54/BN54</f>
        <v>240.84380829352088</v>
      </c>
      <c r="DI54" s="19">
        <f>(BK54/0.46)/((O54/0.023)*(CD54/0.017))^0.5</f>
        <v>0.90145520413127722</v>
      </c>
      <c r="DJ54" s="22">
        <f>BN54/CA54</f>
        <v>509.88757099662428</v>
      </c>
      <c r="DK54" s="22">
        <f>CG54/CT54</f>
        <v>52.633555715780581</v>
      </c>
      <c r="DL54" s="22">
        <f>CG54/CK54</f>
        <v>6.3585918125506096</v>
      </c>
      <c r="DM54" s="22">
        <f>BN54/BZ54</f>
        <v>72.715344158496791</v>
      </c>
      <c r="DN54" s="22">
        <f>BR54/BZ54</f>
        <v>7.1934633454022494</v>
      </c>
      <c r="DO54" s="22"/>
      <c r="DP54" s="20">
        <f>AY54/BZ54</f>
        <v>905.73705391558804</v>
      </c>
      <c r="DQ54" s="22">
        <f>AY54/BQ54</f>
        <v>18.144957800271658</v>
      </c>
      <c r="DR54" s="22">
        <f>AY54/(((BR54/0.195)*(BT54/0.259))^0.5)</f>
        <v>33.338730092973883</v>
      </c>
      <c r="DS54" s="19">
        <f>(BS54/0.074)/(((BR54/0.195)*(BT54/0.259))^0.5)</f>
        <v>0.99608140387182464</v>
      </c>
      <c r="DT54" s="23">
        <f>1/AY54</f>
        <v>3.5202590584196432E-4</v>
      </c>
      <c r="DU54" s="22">
        <f>BJ54/BI54</f>
        <v>7.9949271982182895</v>
      </c>
      <c r="DV54" s="22"/>
      <c r="DW54" s="22">
        <f>1.74+LOG(BK54/BI54)-1.92*LOG(BJ54/BI54)</f>
        <v>0.71483670270139865</v>
      </c>
      <c r="DX54" s="22">
        <f t="shared" si="106"/>
        <v>63.88899477757024</v>
      </c>
      <c r="DY54" s="22">
        <f>CC54*100/BJ54</f>
        <v>8.5598521080663321</v>
      </c>
      <c r="DZ54" s="19">
        <f>EI54*100/AY54</f>
        <v>9.0871546436576342E-3</v>
      </c>
      <c r="EA54" s="23"/>
      <c r="EB54" s="19">
        <f>CC54/BK54</f>
        <v>0.13398007180841534</v>
      </c>
      <c r="EC54" s="19">
        <f>(CB54/0.144)/(CH54*CI54)^(1/2)</f>
        <v>0.10379867862571338</v>
      </c>
      <c r="ED54" s="19"/>
      <c r="EE54" s="19">
        <f t="shared" si="92"/>
        <v>39.493255194733777</v>
      </c>
      <c r="EF54" s="19">
        <f t="shared" si="93"/>
        <v>2.5932792744763646</v>
      </c>
      <c r="EG54" s="19">
        <f t="shared" si="94"/>
        <v>16.826884487591997</v>
      </c>
      <c r="EH54" s="19">
        <f t="shared" si="95"/>
        <v>12.281065097552686</v>
      </c>
      <c r="EI54" s="19">
        <f t="shared" si="96"/>
        <v>0.25813880435655062</v>
      </c>
      <c r="EJ54" s="19">
        <f t="shared" si="97"/>
        <v>3.9299527224477702</v>
      </c>
      <c r="EK54" s="19">
        <f t="shared" si="98"/>
        <v>11.167847697114494</v>
      </c>
      <c r="EL54" s="19">
        <f t="shared" si="99"/>
        <v>5.4666961304943689</v>
      </c>
      <c r="EM54" s="19">
        <f t="shared" si="100"/>
        <v>6.5561310691108439</v>
      </c>
      <c r="EN54" s="19">
        <f t="shared" si="101"/>
        <v>1.4267495221211577</v>
      </c>
      <c r="EO54" s="19">
        <f t="shared" si="102"/>
        <v>100.00000000000001</v>
      </c>
    </row>
    <row r="55" spans="1:152" s="24" customFormat="1">
      <c r="A55" s="24" t="s">
        <v>45</v>
      </c>
      <c r="B55" s="24" t="s">
        <v>44</v>
      </c>
      <c r="C55" s="24">
        <v>1</v>
      </c>
      <c r="D55" s="24" t="s">
        <v>43</v>
      </c>
      <c r="E55" s="24" t="s">
        <v>42</v>
      </c>
      <c r="F55" s="126"/>
      <c r="G55" s="26">
        <v>41.602699999999999</v>
      </c>
      <c r="H55" s="26">
        <v>2.6898</v>
      </c>
      <c r="I55" s="26">
        <v>16.689599999999999</v>
      </c>
      <c r="J55" s="26">
        <v>13.023099999999999</v>
      </c>
      <c r="K55" s="26">
        <v>0.29980000000000001</v>
      </c>
      <c r="L55" s="26">
        <v>3.5547</v>
      </c>
      <c r="M55" s="26">
        <v>10.6241</v>
      </c>
      <c r="N55" s="26">
        <v>5.5570000000000004</v>
      </c>
      <c r="O55" s="26">
        <v>5.8381999999999996</v>
      </c>
      <c r="P55" s="26">
        <v>1.3429</v>
      </c>
      <c r="Q55" s="26"/>
      <c r="R55" s="26"/>
      <c r="S55" s="27">
        <f t="shared" si="81"/>
        <v>101.22190000000001</v>
      </c>
      <c r="U55" s="100"/>
      <c r="V55" s="100"/>
      <c r="W55" s="26"/>
      <c r="X55" s="26"/>
      <c r="Y55" s="26"/>
      <c r="Z55" s="26"/>
      <c r="AA55" s="26"/>
      <c r="AB55" s="26"/>
      <c r="AC55" s="26"/>
      <c r="AD55" s="26"/>
      <c r="AF55" s="31">
        <f t="shared" si="82"/>
        <v>0.38879711525463434</v>
      </c>
      <c r="AG55" s="32">
        <f t="shared" si="83"/>
        <v>16125.351000000001</v>
      </c>
      <c r="AH55" s="32">
        <f t="shared" si="84"/>
        <v>48468.736399999994</v>
      </c>
      <c r="AI55" s="32">
        <f t="shared" si="77"/>
        <v>5860.4156000000003</v>
      </c>
      <c r="AJ55" s="31">
        <f t="shared" si="85"/>
        <v>11.395199999999999</v>
      </c>
      <c r="AK55" s="31">
        <f t="shared" si="86"/>
        <v>1.0506028432607522</v>
      </c>
      <c r="AL55" s="31">
        <f t="shared" si="87"/>
        <v>0.95183446952827944</v>
      </c>
      <c r="AM55" s="31">
        <f t="shared" si="88"/>
        <v>0.63657007957051104</v>
      </c>
      <c r="AN55" s="31">
        <f t="shared" si="89"/>
        <v>0.92636514815481574</v>
      </c>
      <c r="AO55" s="127">
        <f t="shared" si="132"/>
        <v>-302.3999462148862</v>
      </c>
      <c r="AP55" s="127">
        <f t="shared" si="133"/>
        <v>14.172015659928086</v>
      </c>
      <c r="AR55" s="127">
        <v>70</v>
      </c>
      <c r="AS55" s="127">
        <v>2459</v>
      </c>
      <c r="AT55" s="127">
        <v>1412</v>
      </c>
      <c r="AU55" s="26">
        <f t="shared" si="90"/>
        <v>0.14033223805185721</v>
      </c>
      <c r="AV55" s="26">
        <f t="shared" si="91"/>
        <v>0.37862733490182476</v>
      </c>
      <c r="AW55" s="127"/>
      <c r="AX55" s="127">
        <v>131.81343788523964</v>
      </c>
      <c r="AY55" s="127">
        <v>3308.8957803538888</v>
      </c>
      <c r="AZ55" s="127">
        <v>3420.7402394896476</v>
      </c>
      <c r="BA55" s="128">
        <v>1.5302218855982981</v>
      </c>
      <c r="BB55" s="128">
        <v>2.3385802637854289</v>
      </c>
      <c r="BC55" s="127">
        <v>206.00515657661532</v>
      </c>
      <c r="BD55" s="128">
        <v>1.3346063674531901</v>
      </c>
      <c r="BE55" s="127">
        <v>35.093971753897293</v>
      </c>
      <c r="BF55" s="127">
        <v>10.745659132268322</v>
      </c>
      <c r="BG55" s="128">
        <v>165.93797656843739</v>
      </c>
      <c r="BH55" s="128">
        <v>128.11962927404787</v>
      </c>
      <c r="BI55" s="128">
        <v>40.247569356033075</v>
      </c>
      <c r="BJ55" s="128">
        <v>338.77</v>
      </c>
      <c r="BK55" s="128">
        <v>219.23000000000002</v>
      </c>
      <c r="BL55" s="128">
        <v>5.7338384501048649</v>
      </c>
      <c r="BM55" s="26"/>
      <c r="BN55" s="26">
        <v>256.66259586511842</v>
      </c>
      <c r="BO55" s="128">
        <v>484.41117357320513</v>
      </c>
      <c r="BP55" s="26">
        <v>47.087713134720133</v>
      </c>
      <c r="BQ55" s="26">
        <v>164.4644640651791</v>
      </c>
      <c r="BR55" s="26">
        <v>23.186995748358974</v>
      </c>
      <c r="BS55" s="26">
        <v>6.560122336506212</v>
      </c>
      <c r="BT55" s="26">
        <v>16.921172503632075</v>
      </c>
      <c r="BU55" s="26">
        <v>1.9823454305720856</v>
      </c>
      <c r="BV55" s="26">
        <v>9.9230497873341843</v>
      </c>
      <c r="BW55" s="128">
        <v>1.741959019965009</v>
      </c>
      <c r="BX55" s="128">
        <v>4.7209149128285839</v>
      </c>
      <c r="BY55" s="128">
        <v>0.61142000088593007</v>
      </c>
      <c r="BZ55" s="128">
        <v>3.8265072999508187</v>
      </c>
      <c r="CA55" s="128">
        <v>0.54492571984438709</v>
      </c>
      <c r="CB55" s="24">
        <v>4.570779138981373</v>
      </c>
      <c r="CC55" s="34">
        <v>22.788255620383673</v>
      </c>
      <c r="CD55" s="34">
        <v>8.3991540940263967</v>
      </c>
      <c r="CE55" s="34"/>
      <c r="CF55" s="34"/>
      <c r="CG55" s="34">
        <f>BN55/0.31</f>
        <v>827.94385762941431</v>
      </c>
      <c r="CH55" s="34">
        <f>BO55/0.808</f>
        <v>599.51877917475883</v>
      </c>
      <c r="CI55" s="34">
        <f>BP55/0.122</f>
        <v>385.9648617600011</v>
      </c>
      <c r="CJ55" s="34">
        <f>BQ55/0.6</f>
        <v>274.10744010863186</v>
      </c>
      <c r="CK55" s="34">
        <f>BR55/0.195</f>
        <v>118.90767050440499</v>
      </c>
      <c r="CL55" s="34">
        <f>BS55/0.074</f>
        <v>88.650301844678552</v>
      </c>
      <c r="CM55" s="34">
        <f>BT55/0.259</f>
        <v>65.332712369235807</v>
      </c>
      <c r="CN55" s="34">
        <f>BU55/0.0474</f>
        <v>41.821633556373115</v>
      </c>
      <c r="CO55" s="34">
        <f>BV55/0.322</f>
        <v>30.816924805385664</v>
      </c>
      <c r="CP55" s="34">
        <f>BW55/0.0718</f>
        <v>24.261267687534943</v>
      </c>
      <c r="CQ55" s="34">
        <f>BX55/0.21</f>
        <v>22.480547203945637</v>
      </c>
      <c r="CR55" s="34">
        <f>BY55/0.0324</f>
        <v>18.870987681664509</v>
      </c>
      <c r="CS55" s="34">
        <f>BZ55/0.209</f>
        <v>18.308647368185735</v>
      </c>
      <c r="CT55" s="34">
        <f>CA55/0.032</f>
        <v>17.028928745137097</v>
      </c>
      <c r="CU55" s="34">
        <f>AZ55/BK55</f>
        <v>15.603431279887092</v>
      </c>
      <c r="CV55" s="128">
        <f>AZ55/BN55</f>
        <v>13.327770756621344</v>
      </c>
      <c r="CW55" s="34">
        <f>BN55/BK55</f>
        <v>1.170745773229569</v>
      </c>
      <c r="CX55" s="32">
        <f t="shared" si="103"/>
        <v>73.554490717511285</v>
      </c>
      <c r="CY55" s="34">
        <f>BO55/CB55</f>
        <v>105.98000009275425</v>
      </c>
      <c r="CZ55" s="34">
        <f>BK55/CD55</f>
        <v>26.101438019326213</v>
      </c>
      <c r="DA55" s="34">
        <f>AX55/BR55</f>
        <v>5.6848001921322018</v>
      </c>
      <c r="DB55" s="34">
        <f t="shared" si="104"/>
        <v>1.5452720886739952</v>
      </c>
      <c r="DC55" s="34">
        <f>AZ55/CC55</f>
        <v>150.10978885237091</v>
      </c>
      <c r="DD55" s="34"/>
      <c r="DE55" s="34">
        <f>BM55/BZ55</f>
        <v>0</v>
      </c>
      <c r="DF55" s="34">
        <f>CC55/BZ55</f>
        <v>5.9553670838878485</v>
      </c>
      <c r="DG55" s="31">
        <f>BK55/BI55</f>
        <v>5.4470370138547919</v>
      </c>
      <c r="DH55" s="32">
        <f>AH55/BN55</f>
        <v>188.84222781519492</v>
      </c>
      <c r="DI55" s="31">
        <f>(BK55/0.46)/((O55/0.023)*(CD55/0.017))^0.5</f>
        <v>1.3457775278052644</v>
      </c>
      <c r="DJ55" s="34">
        <f>BN55/CA55</f>
        <v>471.00473792724051</v>
      </c>
      <c r="DK55" s="34">
        <f>CG55/CT55</f>
        <v>48.619843915069985</v>
      </c>
      <c r="DL55" s="34">
        <f>CG55/CK55</f>
        <v>6.9629137810646347</v>
      </c>
      <c r="DM55" s="34">
        <f>BN55/BZ55</f>
        <v>67.074900358459331</v>
      </c>
      <c r="DN55" s="34">
        <f>BR55/BZ55</f>
        <v>6.0595718055096857</v>
      </c>
      <c r="DO55" s="34"/>
      <c r="DP55" s="32">
        <f>AY55/BZ55</f>
        <v>864.73003210954732</v>
      </c>
      <c r="DQ55" s="34">
        <f>AY55/BQ55</f>
        <v>20.119214197192996</v>
      </c>
      <c r="DR55" s="34">
        <f>AY55/(((BR55/0.195)*(BT55/0.259))^0.5)</f>
        <v>37.541602637364342</v>
      </c>
      <c r="DS55" s="31">
        <f>(BS55/0.074)/(((BR55/0.195)*(BT55/0.259))^0.5)</f>
        <v>1.0057960801592214</v>
      </c>
      <c r="DT55" s="35">
        <f>1/AY55</f>
        <v>3.0221562309014436E-4</v>
      </c>
      <c r="DU55" s="34">
        <f>BJ55/BI55</f>
        <v>8.4171542634839547</v>
      </c>
      <c r="DV55" s="34"/>
      <c r="DW55" s="34">
        <f>1.74+LOG(BK55/BI55)-1.92*LOG(BJ55/BI55)</f>
        <v>0.69984297598275536</v>
      </c>
      <c r="DX55" s="34">
        <f t="shared" si="106"/>
        <v>64.713522448859109</v>
      </c>
      <c r="DY55" s="34">
        <f>CC55*100/BJ55</f>
        <v>6.7267631786709794</v>
      </c>
      <c r="DZ55" s="31">
        <f>EI55*100/AY55</f>
        <v>8.9510514821817509E-3</v>
      </c>
      <c r="EA55" s="35"/>
      <c r="EB55" s="31">
        <f>CC55/BK55</f>
        <v>0.10394679387120226</v>
      </c>
      <c r="EC55" s="31">
        <f>(CB55/0.144)/(CH55*CI55)^(1/2)</f>
        <v>6.59861005773279E-2</v>
      </c>
      <c r="ED55" s="31"/>
      <c r="EE55" s="31">
        <f t="shared" si="92"/>
        <v>41.10049307511516</v>
      </c>
      <c r="EF55" s="31">
        <f t="shared" si="93"/>
        <v>2.657330083707182</v>
      </c>
      <c r="EG55" s="31">
        <f t="shared" si="94"/>
        <v>16.488131520945565</v>
      </c>
      <c r="EH55" s="31">
        <f t="shared" si="95"/>
        <v>12.865891669688081</v>
      </c>
      <c r="EI55" s="31">
        <f t="shared" si="96"/>
        <v>0.29618096479121614</v>
      </c>
      <c r="EJ55" s="31">
        <f t="shared" si="97"/>
        <v>3.5117894447743021</v>
      </c>
      <c r="EK55" s="31">
        <f t="shared" si="98"/>
        <v>10.495851194257369</v>
      </c>
      <c r="EL55" s="31">
        <f t="shared" si="99"/>
        <v>5.4899186836050307</v>
      </c>
      <c r="EM55" s="31">
        <f t="shared" si="100"/>
        <v>5.7677241782657696</v>
      </c>
      <c r="EN55" s="31">
        <f t="shared" si="101"/>
        <v>1.326689184850314</v>
      </c>
      <c r="EO55" s="31">
        <f t="shared" si="102"/>
        <v>99.999999999999986</v>
      </c>
    </row>
    <row r="56" spans="1:152">
      <c r="A56" s="1" t="s">
        <v>37</v>
      </c>
      <c r="B56" s="1" t="s">
        <v>39</v>
      </c>
      <c r="C56" s="1">
        <v>1</v>
      </c>
      <c r="D56" s="1" t="s">
        <v>40</v>
      </c>
      <c r="E56" s="1" t="s">
        <v>41</v>
      </c>
      <c r="F56" s="2"/>
      <c r="G56" s="14">
        <v>43.73</v>
      </c>
      <c r="H56" s="14">
        <v>1.84</v>
      </c>
      <c r="I56" s="14">
        <v>9.85</v>
      </c>
      <c r="J56" s="14">
        <f>3.04+(1.11*8.03)</f>
        <v>11.953299999999999</v>
      </c>
      <c r="K56" s="14">
        <v>0.17</v>
      </c>
      <c r="L56" s="14">
        <v>20.18</v>
      </c>
      <c r="M56" s="14">
        <v>8.6999999999999993</v>
      </c>
      <c r="N56" s="14">
        <v>1.54</v>
      </c>
      <c r="O56" s="14">
        <v>1.73</v>
      </c>
      <c r="P56" s="14">
        <v>0.37</v>
      </c>
      <c r="Q56" s="14">
        <v>0.47</v>
      </c>
      <c r="R56" s="14"/>
      <c r="S56" s="15">
        <f t="shared" ref="S56:S91" si="134">G56+H56+I56+J56+K56+L56+M56+N56+O56+P56+Q56</f>
        <v>100.53330000000001</v>
      </c>
      <c r="U56" s="86"/>
      <c r="V56" s="86"/>
      <c r="W56" s="14"/>
      <c r="X56" s="14"/>
      <c r="Y56" s="14"/>
      <c r="Z56" s="14"/>
      <c r="AA56" s="14"/>
      <c r="AB56" s="14"/>
      <c r="AC56" s="14"/>
      <c r="AD56" s="14"/>
      <c r="AF56" s="19">
        <f>(L56/40.31)/((L56/40.31)+(J56-(J56*0.15))*0.8998/71.85)</f>
        <v>0.79734256310503027</v>
      </c>
      <c r="AG56" s="20">
        <f>H56*5995</f>
        <v>11030.800000000001</v>
      </c>
      <c r="AH56" s="20">
        <f t="shared" ref="AH56:AH91" si="135">O56*8302</f>
        <v>14362.46</v>
      </c>
      <c r="AI56" s="20">
        <f>P56*4364</f>
        <v>1614.68</v>
      </c>
      <c r="AJ56" s="19">
        <f t="shared" ref="AJ56:AJ91" si="136">N56+O56</f>
        <v>3.27</v>
      </c>
      <c r="AK56" s="19">
        <f>O56/N56</f>
        <v>1.1233766233766234</v>
      </c>
      <c r="AL56" s="19">
        <f>N56/O56</f>
        <v>0.89017341040462428</v>
      </c>
      <c r="AM56" s="19">
        <f>EK56/EG56</f>
        <v>0.88324873096446688</v>
      </c>
      <c r="AN56" s="19">
        <f>(EL56/61.98+EM56/94.2)/(EG56/101.96)</f>
        <v>0.44729805643922871</v>
      </c>
      <c r="AO56" s="118">
        <f>1000*(4*(EE56/60.08)-11*(EL56/61.98*2+EM56/94.2*2)-2*(EH56/159.69+EF56/79.87))</f>
        <v>1763.8917622418153</v>
      </c>
      <c r="AP56" s="118">
        <f>1000*(6*(EK56/56.08)+2*(EJ56/40.3)+EG56/101.96*2)</f>
        <v>2124.1703827186284</v>
      </c>
      <c r="AQ56" s="19">
        <f>(EG56/101.96)/((EK56/56.08)+(EL56/61.98)+(EM56/94.2))</f>
        <v>0.48705705112423459</v>
      </c>
      <c r="AR56" s="19">
        <f>(EL56/61.98+EM56/94.2)/(EG56/101.96)</f>
        <v>0.44729805643922871</v>
      </c>
      <c r="AS56" s="118">
        <f>1000*(4*(EE56/60.08)-11*(EL56/61.98*2+EM56/94.2*2)-2*(EH56/159.69+EF56/79.87))</f>
        <v>1763.8917622418153</v>
      </c>
      <c r="AT56" s="118">
        <f>1000*(6*(EK56/56.08)+2*(EJ56/40.3)+EG56/101.96*2)</f>
        <v>2124.1703827186284</v>
      </c>
      <c r="AU56" s="14">
        <f>O56/G56</f>
        <v>3.9560942144980564E-2</v>
      </c>
      <c r="AV56" s="14">
        <f>(O56/94.2)/(I56/101.96)</f>
        <v>0.19010292390097749</v>
      </c>
      <c r="AX56" s="118"/>
      <c r="AY56" s="118"/>
      <c r="AZ56" s="118">
        <v>716</v>
      </c>
      <c r="BB56" s="118"/>
      <c r="BC56" s="118">
        <v>280</v>
      </c>
      <c r="BD56" s="118">
        <v>1095</v>
      </c>
      <c r="BE56" s="118"/>
      <c r="BF56" s="118">
        <v>707</v>
      </c>
      <c r="BG56" s="118"/>
      <c r="BH56" s="118"/>
      <c r="BI56" s="118"/>
      <c r="BJ56" s="118"/>
      <c r="BK56" s="118"/>
      <c r="BL56" s="117"/>
      <c r="BM56" s="117"/>
      <c r="BN56" s="117"/>
      <c r="BO56" s="117"/>
      <c r="BP56" s="117"/>
      <c r="BQ56" s="117"/>
      <c r="BR56" s="14"/>
      <c r="BS56" s="14"/>
      <c r="BT56" s="117"/>
      <c r="BU56" s="14"/>
      <c r="BV56" s="14"/>
      <c r="BW56" s="14"/>
      <c r="BX56" s="14"/>
      <c r="BY56" s="14"/>
      <c r="BZ56" s="14"/>
      <c r="CA56" s="14"/>
      <c r="CB56" s="117"/>
      <c r="CC56" s="117"/>
      <c r="CD56" s="118"/>
      <c r="CE56" s="118"/>
      <c r="CF56" s="118"/>
      <c r="CG56" s="22"/>
      <c r="CH56" s="22"/>
      <c r="CI56" s="22"/>
      <c r="CJ56" s="22"/>
      <c r="CK56" s="22"/>
      <c r="CL56" s="22"/>
      <c r="CM56" s="22"/>
      <c r="CN56" s="22"/>
      <c r="CO56" s="22"/>
      <c r="CP56" s="22"/>
      <c r="CQ56" s="22"/>
      <c r="CR56" s="22"/>
      <c r="CS56" s="22"/>
      <c r="CT56" s="22"/>
      <c r="CU56" s="22"/>
      <c r="CV56" s="117"/>
      <c r="CW56" s="22"/>
      <c r="CX56" s="20"/>
      <c r="CY56" s="22"/>
      <c r="CZ56" s="22"/>
      <c r="DA56" s="22"/>
      <c r="DB56" s="22"/>
      <c r="DC56" s="22"/>
      <c r="DD56" s="22"/>
      <c r="DE56" s="22"/>
      <c r="DF56" s="22"/>
      <c r="DG56" s="19"/>
      <c r="DH56" s="20"/>
      <c r="DI56" s="19"/>
      <c r="DJ56" s="22"/>
      <c r="DK56" s="22"/>
      <c r="DL56" s="22"/>
      <c r="DM56" s="22"/>
      <c r="DN56" s="22"/>
      <c r="DO56" s="22"/>
      <c r="DP56" s="20"/>
      <c r="DQ56" s="22"/>
      <c r="DR56" s="22"/>
      <c r="DS56" s="19"/>
      <c r="DT56" s="23"/>
      <c r="DU56" s="22"/>
      <c r="DV56" s="22"/>
      <c r="DW56" s="22"/>
      <c r="DX56" s="22"/>
      <c r="DY56" s="22"/>
      <c r="DZ56" s="19"/>
      <c r="EA56" s="23"/>
      <c r="EB56" s="19"/>
      <c r="EC56" s="19"/>
      <c r="ED56" s="19"/>
      <c r="EE56" s="19">
        <f t="shared" ref="EE56:EN58" si="137">100*G56/($G56+$H56+$I56+$J56+$K56+$L56+$M56+$N56+$O56+$P56)</f>
        <v>43.702336421045473</v>
      </c>
      <c r="EF56" s="19">
        <f t="shared" si="137"/>
        <v>1.8388360168013644</v>
      </c>
      <c r="EG56" s="19">
        <f t="shared" si="137"/>
        <v>9.843768894289914</v>
      </c>
      <c r="EH56" s="19">
        <f t="shared" si="137"/>
        <v>11.94573834762595</v>
      </c>
      <c r="EI56" s="19">
        <f t="shared" si="137"/>
        <v>0.1698924580740391</v>
      </c>
      <c r="EJ56" s="19">
        <f t="shared" si="137"/>
        <v>20.167234140788878</v>
      </c>
      <c r="EK56" s="19">
        <f t="shared" si="137"/>
        <v>8.6944963837890601</v>
      </c>
      <c r="EL56" s="19">
        <f t="shared" si="137"/>
        <v>1.5390257966707073</v>
      </c>
      <c r="EM56" s="19">
        <f t="shared" si="137"/>
        <v>1.7289056027534568</v>
      </c>
      <c r="EN56" s="19">
        <f t="shared" si="137"/>
        <v>0.36976593816114395</v>
      </c>
      <c r="EO56" s="19">
        <f>SUM(EE56:EN56)</f>
        <v>100</v>
      </c>
    </row>
    <row r="57" spans="1:152">
      <c r="A57" s="1" t="s">
        <v>37</v>
      </c>
      <c r="B57" s="1" t="s">
        <v>39</v>
      </c>
      <c r="C57" s="1">
        <v>1</v>
      </c>
      <c r="D57" s="1" t="s">
        <v>40</v>
      </c>
      <c r="E57" s="1" t="s">
        <v>22</v>
      </c>
      <c r="F57" s="2"/>
      <c r="G57" s="14">
        <v>44.5</v>
      </c>
      <c r="H57" s="14">
        <v>2.5499999999999998</v>
      </c>
      <c r="I57" s="14">
        <v>11.67</v>
      </c>
      <c r="J57" s="14">
        <f>2.05+(1.11*8.9)</f>
        <v>11.929000000000002</v>
      </c>
      <c r="K57" s="14">
        <v>0.16</v>
      </c>
      <c r="L57" s="14">
        <v>13.25</v>
      </c>
      <c r="M57" s="14">
        <v>10.18</v>
      </c>
      <c r="N57" s="14">
        <v>2.5299999999999998</v>
      </c>
      <c r="O57" s="14">
        <v>2.91</v>
      </c>
      <c r="P57" s="14">
        <v>0.62</v>
      </c>
      <c r="Q57" s="14">
        <v>0.44</v>
      </c>
      <c r="R57" s="14">
        <v>0.05</v>
      </c>
      <c r="S57" s="15">
        <f t="shared" si="134"/>
        <v>100.739</v>
      </c>
      <c r="U57" s="86"/>
      <c r="V57" s="86"/>
      <c r="W57" s="14"/>
      <c r="X57" s="14"/>
      <c r="Y57" s="14"/>
      <c r="Z57" s="14"/>
      <c r="AA57" s="14"/>
      <c r="AB57" s="14"/>
      <c r="AC57" s="14"/>
      <c r="AD57" s="14"/>
      <c r="AF57" s="19">
        <f>(L57/40.31)/((L57/40.31)+(J57-(J57*0.15))*0.8998/71.85)</f>
        <v>0.7213379249607087</v>
      </c>
      <c r="AG57" s="20">
        <f>H57*5995</f>
        <v>15287.249999999998</v>
      </c>
      <c r="AH57" s="20">
        <f t="shared" si="135"/>
        <v>24158.82</v>
      </c>
      <c r="AI57" s="20">
        <f>P57*4364</f>
        <v>2705.68</v>
      </c>
      <c r="AJ57" s="19">
        <f t="shared" si="136"/>
        <v>5.4399999999999995</v>
      </c>
      <c r="AK57" s="19">
        <f>O57/N57</f>
        <v>1.1501976284584983</v>
      </c>
      <c r="AL57" s="19">
        <f>N57/O57</f>
        <v>0.86941580756013737</v>
      </c>
      <c r="AM57" s="19">
        <f>EK57/EG57</f>
        <v>0.87232219365895469</v>
      </c>
      <c r="AN57" s="19">
        <f>(EL57/61.98+EM57/94.2)/(EG57/101.96)</f>
        <v>0.62653711414898905</v>
      </c>
      <c r="AO57" s="118">
        <f>1000*(4*(EE57/60.08)-11*(EL57/61.98*2+EM57/94.2*2)-2*(EH57/159.69+EF57/79.87))</f>
        <v>1168.3179214047516</v>
      </c>
      <c r="AP57" s="118">
        <f>1000*(6*(EK57/56.08)+2*(EJ57/40.3)+EG57/101.96*2)</f>
        <v>1969.7503292830279</v>
      </c>
      <c r="AQ57" s="19">
        <f>(EG57/101.96)/((EK57/56.08)+(EL57/61.98)+(EM57/94.2))</f>
        <v>0.45197313107923737</v>
      </c>
      <c r="AR57" s="19">
        <f>(EL57/61.98+EM57/94.2)/(EG57/101.96)</f>
        <v>0.62653711414898905</v>
      </c>
      <c r="AS57" s="118">
        <f>1000*(4*(EE57/60.08)-11*(EL57/61.98*2+EM57/94.2*2)-2*(EH57/159.69+EF57/79.87))</f>
        <v>1168.3179214047516</v>
      </c>
      <c r="AT57" s="118">
        <f>1000*(6*(EK57/56.08)+2*(EJ57/40.3)+EG57/101.96*2)</f>
        <v>1969.7503292830279</v>
      </c>
      <c r="AU57" s="14">
        <f>O57/G57</f>
        <v>6.5393258426966291E-2</v>
      </c>
      <c r="AV57" s="14">
        <f>(O57/94.2)/(I57/101.96)</f>
        <v>0.2698988642007652</v>
      </c>
      <c r="AX57" s="118"/>
      <c r="AY57" s="118">
        <v>592</v>
      </c>
      <c r="AZ57" s="118">
        <v>1163</v>
      </c>
      <c r="BB57" s="118"/>
      <c r="BC57" s="118">
        <v>224</v>
      </c>
      <c r="BD57" s="118">
        <v>821</v>
      </c>
      <c r="BE57" s="118"/>
      <c r="BF57" s="118">
        <v>314</v>
      </c>
      <c r="BG57" s="118"/>
      <c r="BH57" s="118"/>
      <c r="BI57" s="118"/>
      <c r="BJ57" s="118"/>
      <c r="BK57" s="118"/>
      <c r="BL57" s="117"/>
      <c r="BM57" s="117"/>
      <c r="BN57" s="117"/>
      <c r="BO57" s="117"/>
      <c r="BP57" s="117"/>
      <c r="BQ57" s="117"/>
      <c r="BR57" s="14"/>
      <c r="BS57" s="14"/>
      <c r="BT57" s="117"/>
      <c r="BU57" s="14"/>
      <c r="BV57" s="14"/>
      <c r="BW57" s="14"/>
      <c r="BX57" s="14"/>
      <c r="BY57" s="14"/>
      <c r="BZ57" s="14"/>
      <c r="CA57" s="14"/>
      <c r="CB57" s="117"/>
      <c r="CC57" s="117"/>
      <c r="CD57" s="118"/>
      <c r="CE57" s="118"/>
      <c r="CF57" s="118"/>
      <c r="CG57" s="22"/>
      <c r="CH57" s="22"/>
      <c r="CI57" s="22"/>
      <c r="CJ57" s="22"/>
      <c r="CK57" s="22"/>
      <c r="CL57" s="22"/>
      <c r="CM57" s="22"/>
      <c r="CN57" s="22"/>
      <c r="CO57" s="22"/>
      <c r="CP57" s="22"/>
      <c r="CQ57" s="22"/>
      <c r="CR57" s="22"/>
      <c r="CS57" s="22"/>
      <c r="CT57" s="22"/>
      <c r="CU57" s="22"/>
      <c r="CV57" s="117"/>
      <c r="CW57" s="22"/>
      <c r="CX57" s="20"/>
      <c r="CY57" s="22"/>
      <c r="CZ57" s="22"/>
      <c r="DA57" s="22"/>
      <c r="DB57" s="22"/>
      <c r="DC57" s="22"/>
      <c r="DD57" s="22"/>
      <c r="DE57" s="22"/>
      <c r="DF57" s="22"/>
      <c r="DG57" s="19"/>
      <c r="DH57" s="20"/>
      <c r="DI57" s="19"/>
      <c r="DJ57" s="22"/>
      <c r="DK57" s="22"/>
      <c r="DL57" s="22"/>
      <c r="DM57" s="22"/>
      <c r="DN57" s="22"/>
      <c r="DO57" s="22"/>
      <c r="DP57" s="20"/>
      <c r="DQ57" s="22"/>
      <c r="DR57" s="22"/>
      <c r="DS57" s="19"/>
      <c r="DT57" s="23">
        <f>1/AY57</f>
        <v>1.6891891891891893E-3</v>
      </c>
      <c r="DU57" s="22"/>
      <c r="DV57" s="22"/>
      <c r="DW57" s="22"/>
      <c r="DX57" s="22"/>
      <c r="DY57" s="22"/>
      <c r="DZ57" s="19">
        <f>EI57*100/AY57</f>
        <v>2.6946457120237514E-2</v>
      </c>
      <c r="EA57" s="23"/>
      <c r="EB57" s="19"/>
      <c r="EC57" s="19"/>
      <c r="ED57" s="19"/>
      <c r="EE57" s="19">
        <f t="shared" si="137"/>
        <v>44.367341648471069</v>
      </c>
      <c r="EF57" s="19">
        <f t="shared" si="137"/>
        <v>2.5423982292944092</v>
      </c>
      <c r="EG57" s="19">
        <f t="shared" si="137"/>
        <v>11.635210719947356</v>
      </c>
      <c r="EH57" s="19">
        <f t="shared" si="137"/>
        <v>11.893438618530594</v>
      </c>
      <c r="EI57" s="19">
        <f t="shared" si="137"/>
        <v>0.15952302615180608</v>
      </c>
      <c r="EJ57" s="19">
        <f t="shared" si="137"/>
        <v>13.210500603196442</v>
      </c>
      <c r="EK57" s="19">
        <f t="shared" si="137"/>
        <v>10.149652538908663</v>
      </c>
      <c r="EL57" s="19">
        <f t="shared" si="137"/>
        <v>2.5224578510254334</v>
      </c>
      <c r="EM57" s="19">
        <f t="shared" si="137"/>
        <v>2.9013250381359734</v>
      </c>
      <c r="EN57" s="19">
        <f t="shared" si="137"/>
        <v>0.61815172633824855</v>
      </c>
      <c r="EO57" s="19">
        <f>SUM(EE57:EN57)</f>
        <v>100</v>
      </c>
    </row>
    <row r="58" spans="1:152">
      <c r="A58" s="1" t="s">
        <v>37</v>
      </c>
      <c r="B58" s="1" t="s">
        <v>39</v>
      </c>
      <c r="C58" s="1">
        <v>1</v>
      </c>
      <c r="D58" s="1" t="s">
        <v>38</v>
      </c>
      <c r="E58" s="1" t="s">
        <v>22</v>
      </c>
      <c r="F58" s="2"/>
      <c r="G58" s="14">
        <v>43.18</v>
      </c>
      <c r="H58" s="14">
        <v>2.77</v>
      </c>
      <c r="I58" s="14">
        <v>12</v>
      </c>
      <c r="J58" s="14">
        <f>3.54+(1.11*7.29)</f>
        <v>11.631900000000002</v>
      </c>
      <c r="K58" s="14">
        <v>0.19</v>
      </c>
      <c r="L58" s="14">
        <v>12.23</v>
      </c>
      <c r="M58" s="14">
        <v>11.54</v>
      </c>
      <c r="N58" s="14">
        <v>2.11</v>
      </c>
      <c r="O58" s="14">
        <v>3.39</v>
      </c>
      <c r="P58" s="14">
        <v>0.53</v>
      </c>
      <c r="Q58" s="14">
        <v>0.42</v>
      </c>
      <c r="R58" s="14">
        <v>0.01</v>
      </c>
      <c r="S58" s="15">
        <f t="shared" si="134"/>
        <v>99.991900000000001</v>
      </c>
      <c r="U58" s="86"/>
      <c r="V58" s="86"/>
      <c r="W58" s="14"/>
      <c r="X58" s="14"/>
      <c r="Y58" s="14"/>
      <c r="Z58" s="14"/>
      <c r="AA58" s="14"/>
      <c r="AB58" s="14"/>
      <c r="AC58" s="14"/>
      <c r="AD58" s="14"/>
      <c r="AF58" s="19">
        <f>(L58/40.31)/((L58/40.31)+(J58-(J58*0.15))*0.8998/71.85)</f>
        <v>0.71017278271005824</v>
      </c>
      <c r="AG58" s="20">
        <f>H58*5995</f>
        <v>16606.150000000001</v>
      </c>
      <c r="AH58" s="20">
        <f t="shared" si="135"/>
        <v>28143.780000000002</v>
      </c>
      <c r="AI58" s="20">
        <f>P58*4364</f>
        <v>2312.92</v>
      </c>
      <c r="AJ58" s="19">
        <f t="shared" si="136"/>
        <v>5.5</v>
      </c>
      <c r="AK58" s="19">
        <f>O58/N58</f>
        <v>1.6066350710900474</v>
      </c>
      <c r="AL58" s="19">
        <f>N58/O58</f>
        <v>0.62241887905604709</v>
      </c>
      <c r="AM58" s="19">
        <f>EK58/EG58</f>
        <v>0.96166666666666678</v>
      </c>
      <c r="AN58" s="19">
        <f>(EL58/61.98+EM58/94.2)/(EG58/101.96)</f>
        <v>0.59502582265767534</v>
      </c>
      <c r="AO58" s="118">
        <f>1000*(4*(EE58/60.08)-11*(EL58/61.98*2+EM58/94.2*2)-2*(EH58/159.69+EF58/79.87))</f>
        <v>1123.9303599410346</v>
      </c>
      <c r="AP58" s="118">
        <f>1000*(6*(EK58/56.08)+2*(EJ58/40.3)+EG58/101.96*2)</f>
        <v>2085.9289432965111</v>
      </c>
      <c r="AQ58" s="19">
        <f>(EG58/101.96)/((EK58/56.08)+(EL58/61.98)+(EM58/94.2))</f>
        <v>0.42672159393591963</v>
      </c>
      <c r="AR58" s="19">
        <f>(EL58/61.98+EM58/94.2)/(EG58/101.96)</f>
        <v>0.59502582265767534</v>
      </c>
      <c r="AS58" s="118">
        <f>1000*(4*(EE58/60.08)-11*(EL58/61.98*2+EM58/94.2*2)-2*(EH58/159.69+EF58/79.87))</f>
        <v>1123.9303599410346</v>
      </c>
      <c r="AT58" s="118">
        <f>1000*(6*(EK58/56.08)+2*(EJ58/40.3)+EG58/101.96*2)</f>
        <v>2085.9289432965111</v>
      </c>
      <c r="AU58" s="14">
        <f>O58/G58</f>
        <v>7.8508568781843452E-2</v>
      </c>
      <c r="AV58" s="14">
        <f>(O58/94.2)/(I58/101.96)</f>
        <v>0.3057717622080679</v>
      </c>
      <c r="AX58" s="118"/>
      <c r="AY58" s="118">
        <v>864</v>
      </c>
      <c r="AZ58" s="118">
        <v>1612</v>
      </c>
      <c r="BB58" s="118"/>
      <c r="BC58" s="118">
        <v>280</v>
      </c>
      <c r="BD58" s="118">
        <v>479</v>
      </c>
      <c r="BE58" s="118"/>
      <c r="BF58" s="118">
        <v>236</v>
      </c>
      <c r="BG58" s="118"/>
      <c r="BH58" s="118"/>
      <c r="BI58" s="118"/>
      <c r="BJ58" s="118"/>
      <c r="BK58" s="118"/>
      <c r="BL58" s="117"/>
      <c r="BM58" s="117"/>
      <c r="BN58" s="117"/>
      <c r="BO58" s="117"/>
      <c r="BP58" s="117"/>
      <c r="BQ58" s="117"/>
      <c r="BR58" s="14"/>
      <c r="BS58" s="14"/>
      <c r="BT58" s="117"/>
      <c r="BU58" s="14"/>
      <c r="BV58" s="14"/>
      <c r="BW58" s="14"/>
      <c r="BX58" s="14"/>
      <c r="BY58" s="14"/>
      <c r="BZ58" s="14"/>
      <c r="CA58" s="14"/>
      <c r="CB58" s="117"/>
      <c r="CC58" s="117"/>
      <c r="CD58" s="118"/>
      <c r="CE58" s="118"/>
      <c r="CF58" s="118"/>
      <c r="CG58" s="22"/>
      <c r="CH58" s="22"/>
      <c r="CI58" s="22"/>
      <c r="CJ58" s="22"/>
      <c r="CK58" s="22"/>
      <c r="CL58" s="22"/>
      <c r="CM58" s="22"/>
      <c r="CN58" s="22"/>
      <c r="CO58" s="22"/>
      <c r="CP58" s="22"/>
      <c r="CQ58" s="22"/>
      <c r="CR58" s="22"/>
      <c r="CS58" s="22"/>
      <c r="CT58" s="22"/>
      <c r="CU58" s="22"/>
      <c r="CV58" s="117"/>
      <c r="CW58" s="22"/>
      <c r="CX58" s="20"/>
      <c r="CY58" s="22"/>
      <c r="CZ58" s="22"/>
      <c r="DA58" s="22"/>
      <c r="DB58" s="22"/>
      <c r="DC58" s="22"/>
      <c r="DD58" s="22"/>
      <c r="DE58" s="22"/>
      <c r="DF58" s="22"/>
      <c r="DG58" s="19"/>
      <c r="DH58" s="20"/>
      <c r="DI58" s="19"/>
      <c r="DJ58" s="22"/>
      <c r="DK58" s="22"/>
      <c r="DL58" s="22"/>
      <c r="DM58" s="22"/>
      <c r="DN58" s="22"/>
      <c r="DO58" s="22"/>
      <c r="DP58" s="20"/>
      <c r="DQ58" s="22"/>
      <c r="DR58" s="22"/>
      <c r="DS58" s="19"/>
      <c r="DT58" s="23">
        <f>1/AY58</f>
        <v>1.1574074074074073E-3</v>
      </c>
      <c r="DU58" s="22"/>
      <c r="DV58" s="22"/>
      <c r="DW58" s="22"/>
      <c r="DX58" s="22"/>
      <c r="DY58" s="22"/>
      <c r="DZ58" s="19">
        <f>EI58*100/AY58</f>
        <v>2.20852878580611E-2</v>
      </c>
      <c r="EA58" s="23"/>
      <c r="EB58" s="19"/>
      <c r="EC58" s="19"/>
      <c r="ED58" s="19"/>
      <c r="EE58" s="19">
        <f t="shared" si="137"/>
        <v>43.365648340545874</v>
      </c>
      <c r="EF58" s="19">
        <f t="shared" si="137"/>
        <v>2.7819093539442354</v>
      </c>
      <c r="EG58" s="19">
        <f t="shared" si="137"/>
        <v>12.051592869072499</v>
      </c>
      <c r="EH58" s="19">
        <f t="shared" si="137"/>
        <v>11.681910257813701</v>
      </c>
      <c r="EI58" s="19">
        <f t="shared" si="137"/>
        <v>0.19081688709364791</v>
      </c>
      <c r="EJ58" s="19">
        <f t="shared" si="137"/>
        <v>12.282581732396389</v>
      </c>
      <c r="EK58" s="19">
        <f t="shared" si="137"/>
        <v>11.589615142424721</v>
      </c>
      <c r="EL58" s="19">
        <f t="shared" si="137"/>
        <v>2.1190717461452477</v>
      </c>
      <c r="EM58" s="19">
        <f t="shared" si="137"/>
        <v>3.4045749855129812</v>
      </c>
      <c r="EN58" s="19">
        <f t="shared" si="137"/>
        <v>0.53227868505070208</v>
      </c>
      <c r="EO58" s="19">
        <f>SUM(EE58:EN58)</f>
        <v>100</v>
      </c>
    </row>
    <row r="59" spans="1:152" s="24" customFormat="1">
      <c r="A59" s="24" t="s">
        <v>37</v>
      </c>
      <c r="B59" s="24" t="s">
        <v>36</v>
      </c>
      <c r="C59" s="24">
        <v>1</v>
      </c>
      <c r="D59" s="24" t="s">
        <v>35</v>
      </c>
      <c r="E59" s="24" t="s">
        <v>22</v>
      </c>
      <c r="F59" s="126"/>
      <c r="G59" s="26"/>
      <c r="H59" s="26"/>
      <c r="I59" s="26"/>
      <c r="J59" s="26"/>
      <c r="K59" s="26"/>
      <c r="L59" s="26"/>
      <c r="M59" s="26"/>
      <c r="N59" s="26"/>
      <c r="O59" s="26">
        <v>2.2999999999999998</v>
      </c>
      <c r="P59" s="26"/>
      <c r="Q59" s="26"/>
      <c r="R59" s="26"/>
      <c r="S59" s="27">
        <f t="shared" si="134"/>
        <v>2.2999999999999998</v>
      </c>
      <c r="U59" s="100">
        <v>0.70609999999999995</v>
      </c>
      <c r="V59" s="100"/>
      <c r="W59" s="26"/>
      <c r="X59" s="26"/>
      <c r="Y59" s="26"/>
      <c r="Z59" s="26"/>
      <c r="AA59" s="26"/>
      <c r="AB59" s="26"/>
      <c r="AC59" s="26"/>
      <c r="AD59" s="26"/>
      <c r="AF59" s="31"/>
      <c r="AG59" s="32"/>
      <c r="AH59" s="32">
        <f t="shared" si="135"/>
        <v>19094.599999999999</v>
      </c>
      <c r="AI59" s="32"/>
      <c r="AJ59" s="31">
        <f t="shared" si="136"/>
        <v>2.2999999999999998</v>
      </c>
      <c r="AK59" s="31"/>
      <c r="AL59" s="31"/>
      <c r="AM59" s="19"/>
      <c r="AN59" s="19"/>
      <c r="AO59" s="127"/>
      <c r="AP59" s="127"/>
      <c r="AQ59" s="31"/>
      <c r="AR59" s="31"/>
      <c r="AS59" s="127"/>
      <c r="AT59" s="127"/>
      <c r="AU59" s="26"/>
      <c r="AV59" s="26"/>
      <c r="AX59" s="127">
        <v>78</v>
      </c>
      <c r="AY59" s="127">
        <v>876</v>
      </c>
      <c r="AZ59" s="127"/>
      <c r="BA59" s="128"/>
      <c r="BB59" s="127">
        <v>29</v>
      </c>
      <c r="BC59" s="127"/>
      <c r="BD59" s="127"/>
      <c r="BE59" s="127">
        <v>88</v>
      </c>
      <c r="BF59" s="127"/>
      <c r="BG59" s="127"/>
      <c r="BH59" s="127"/>
      <c r="BI59" s="127"/>
      <c r="BJ59" s="127">
        <v>298</v>
      </c>
      <c r="BK59" s="127">
        <v>92</v>
      </c>
      <c r="BL59" s="128">
        <v>6.5</v>
      </c>
      <c r="BM59" s="128">
        <v>9.3000000000000007</v>
      </c>
      <c r="BN59" s="128">
        <v>48.9</v>
      </c>
      <c r="BO59" s="128">
        <v>102</v>
      </c>
      <c r="BP59" s="128"/>
      <c r="BQ59" s="128"/>
      <c r="BR59" s="26">
        <v>6.73</v>
      </c>
      <c r="BS59" s="26">
        <v>1.81</v>
      </c>
      <c r="BT59" s="128"/>
      <c r="BU59" s="26">
        <v>0.68</v>
      </c>
      <c r="BV59" s="26"/>
      <c r="BW59" s="26"/>
      <c r="BX59" s="26"/>
      <c r="BY59" s="26"/>
      <c r="BZ59" s="26">
        <v>0.39</v>
      </c>
      <c r="CA59" s="26">
        <v>0.05</v>
      </c>
      <c r="CB59" s="128"/>
      <c r="CC59" s="128">
        <v>11</v>
      </c>
      <c r="CD59" s="127"/>
      <c r="CE59" s="127"/>
      <c r="CF59" s="127"/>
      <c r="CG59" s="34">
        <f>BN59/0.31</f>
        <v>157.74193548387098</v>
      </c>
      <c r="CH59" s="34">
        <f>BO59/0.808</f>
        <v>126.23762376237623</v>
      </c>
      <c r="CI59" s="34"/>
      <c r="CJ59" s="34"/>
      <c r="CK59" s="34">
        <f>BR59/0.195</f>
        <v>34.512820512820511</v>
      </c>
      <c r="CL59" s="34">
        <f>BS59/0.074</f>
        <v>24.45945945945946</v>
      </c>
      <c r="CM59" s="34"/>
      <c r="CN59" s="34">
        <f>BU59/0.0474</f>
        <v>14.345991561181437</v>
      </c>
      <c r="CO59" s="34"/>
      <c r="CP59" s="34"/>
      <c r="CQ59" s="34"/>
      <c r="CR59" s="34"/>
      <c r="CS59" s="34">
        <f>BZ59/0.209</f>
        <v>1.8660287081339715</v>
      </c>
      <c r="CT59" s="34">
        <f>CA59/0.032</f>
        <v>1.5625</v>
      </c>
      <c r="CU59" s="34"/>
      <c r="CV59" s="128"/>
      <c r="CW59" s="34">
        <f t="shared" ref="CW59:CW73" si="138">BN59/BK59</f>
        <v>0.53152173913043477</v>
      </c>
      <c r="CX59" s="32"/>
      <c r="CY59" s="34"/>
      <c r="CZ59" s="34"/>
      <c r="DA59" s="34">
        <f>AX59/BR59</f>
        <v>11.589895988112927</v>
      </c>
      <c r="DB59" s="34">
        <f t="shared" ref="DB59:DB73" si="139">BJ59/BK59</f>
        <v>3.2391304347826089</v>
      </c>
      <c r="DC59" s="34"/>
      <c r="DD59" s="34">
        <f t="shared" ref="DD59:DD73" si="140">CC59/BM59</f>
        <v>1.182795698924731</v>
      </c>
      <c r="DE59" s="34">
        <f t="shared" ref="DE59:DE73" si="141">BM59/BZ59</f>
        <v>23.846153846153847</v>
      </c>
      <c r="DF59" s="34">
        <f t="shared" ref="DF59:DF73" si="142">CC59/BZ59</f>
        <v>28.205128205128204</v>
      </c>
      <c r="DG59" s="31"/>
      <c r="DH59" s="32">
        <f t="shared" ref="DH59:DH73" si="143">AH59/BN59</f>
        <v>390.48261758691206</v>
      </c>
      <c r="DI59" s="31"/>
      <c r="DJ59" s="34">
        <f>BN59/CA59</f>
        <v>977.99999999999989</v>
      </c>
      <c r="DK59" s="34">
        <f>CG59/CT59</f>
        <v>100.95483870967742</v>
      </c>
      <c r="DL59" s="34">
        <f>CG59/CK59</f>
        <v>4.5705315630542112</v>
      </c>
      <c r="DM59" s="34">
        <f t="shared" ref="DM59:DM73" si="144">BN59/BZ59</f>
        <v>125.38461538461537</v>
      </c>
      <c r="DN59" s="34">
        <f>BR59/BZ59</f>
        <v>17.256410256410255</v>
      </c>
      <c r="DO59" s="34"/>
      <c r="DP59" s="32">
        <f>AY59/BZ59</f>
        <v>2246.1538461538462</v>
      </c>
      <c r="DQ59" s="34"/>
      <c r="DR59" s="34"/>
      <c r="DS59" s="31"/>
      <c r="DT59" s="35">
        <f>1/AY59</f>
        <v>1.1415525114155251E-3</v>
      </c>
      <c r="DU59" s="34"/>
      <c r="DV59" s="34">
        <f t="shared" ref="DV59:DV73" si="145">BK59/BM59</f>
        <v>9.89247311827957</v>
      </c>
      <c r="DW59" s="34"/>
      <c r="DX59" s="34">
        <f t="shared" ref="DX59:DX73" si="146">BK59*100/BJ59</f>
        <v>30.872483221476511</v>
      </c>
      <c r="DY59" s="34">
        <f t="shared" ref="DY59:DY73" si="147">CC59*100/BJ59</f>
        <v>3.6912751677852347</v>
      </c>
      <c r="DZ59" s="31"/>
      <c r="EA59" s="35"/>
      <c r="EB59" s="31">
        <f t="shared" ref="EB59:EB73" si="148">CC59/BK59</f>
        <v>0.11956521739130435</v>
      </c>
      <c r="EC59" s="31"/>
      <c r="ED59" s="31"/>
      <c r="EE59" s="31"/>
      <c r="EF59" s="31"/>
      <c r="EG59" s="31"/>
      <c r="EH59" s="31"/>
      <c r="EI59" s="31"/>
      <c r="EJ59" s="31"/>
      <c r="EK59" s="31"/>
      <c r="EL59" s="31"/>
      <c r="EM59" s="31"/>
      <c r="EN59" s="31"/>
      <c r="EO59" s="31"/>
    </row>
    <row r="60" spans="1:152">
      <c r="A60" s="1" t="s">
        <v>7</v>
      </c>
      <c r="B60" s="36" t="s">
        <v>34</v>
      </c>
      <c r="C60" s="36">
        <v>2</v>
      </c>
      <c r="D60" s="1" t="s">
        <v>30</v>
      </c>
      <c r="E60" s="1" t="s">
        <v>4</v>
      </c>
      <c r="F60" s="2" t="s">
        <v>3</v>
      </c>
      <c r="G60" s="14">
        <v>36.64</v>
      </c>
      <c r="H60" s="14">
        <v>3.96</v>
      </c>
      <c r="I60" s="14">
        <v>6.89</v>
      </c>
      <c r="J60" s="14">
        <v>11.56</v>
      </c>
      <c r="K60" s="14">
        <v>0.2</v>
      </c>
      <c r="L60" s="14">
        <v>13.82</v>
      </c>
      <c r="M60" s="14">
        <v>15.76</v>
      </c>
      <c r="N60" s="14">
        <v>1.83</v>
      </c>
      <c r="O60" s="14">
        <v>3.23</v>
      </c>
      <c r="P60" s="14">
        <v>0.95</v>
      </c>
      <c r="Q60" s="14">
        <v>3.99</v>
      </c>
      <c r="R60" s="14"/>
      <c r="S60" s="15">
        <f t="shared" si="134"/>
        <v>98.830000000000013</v>
      </c>
      <c r="U60" s="86">
        <v>0.70472400000000002</v>
      </c>
      <c r="V60" s="86">
        <v>0.51249299999999998</v>
      </c>
      <c r="W60" s="84"/>
      <c r="X60" s="84"/>
      <c r="Y60" s="84"/>
      <c r="Z60" s="131"/>
      <c r="AA60" s="131"/>
      <c r="AB60" s="14"/>
      <c r="AC60" s="14"/>
      <c r="AD60" s="14"/>
      <c r="AF60" s="19">
        <f t="shared" ref="AF60:AF91" si="149">(L60/40.31)/((L60/40.31)+(J60-(J60*0.15))*0.8998/71.85)</f>
        <v>0.73587711683134605</v>
      </c>
      <c r="AG60" s="20">
        <f t="shared" ref="AG60:AG91" si="150">H60*5995</f>
        <v>23740.2</v>
      </c>
      <c r="AH60" s="20">
        <f t="shared" si="135"/>
        <v>26815.46</v>
      </c>
      <c r="AI60" s="20">
        <f t="shared" ref="AI60:AI78" si="151">P60*4364</f>
        <v>4145.8</v>
      </c>
      <c r="AJ60" s="19">
        <f t="shared" si="136"/>
        <v>5.0600000000000005</v>
      </c>
      <c r="AK60" s="19">
        <f t="shared" ref="AK60:AK91" si="152">O60/N60</f>
        <v>1.7650273224043715</v>
      </c>
      <c r="AL60" s="19">
        <f t="shared" ref="AL60:AL91" si="153">N60/O60</f>
        <v>0.56656346749226005</v>
      </c>
      <c r="AM60" s="19">
        <f t="shared" ref="AM60:AM91" si="154">EK60/EG60</f>
        <v>2.2873730043541363</v>
      </c>
      <c r="AN60" s="19">
        <f t="shared" ref="AN60:AN91" si="155">O60/I60</f>
        <v>0.46879535558780844</v>
      </c>
      <c r="AO60" s="19">
        <f t="shared" ref="AO60:AO91" si="156">(EL60/61.98+EM60/94.2)/(EG60/101.96)</f>
        <v>0.94434198894056409</v>
      </c>
      <c r="AP60" s="19">
        <f t="shared" ref="AP60:AP91" si="157">1/AO60</f>
        <v>1.0589384054836717</v>
      </c>
      <c r="AQ60" s="19">
        <f t="shared" ref="AQ60:AQ91" si="158">(EG60/101.96)/((EK60/56.08)+(EL60/61.98)+(EM60/94.2))</f>
        <v>0.19596109762786185</v>
      </c>
      <c r="AR60" s="19">
        <f t="shared" ref="AR60:AR91" si="159">(EL60/61.98+EM60/94.2)/(EG60/101.96)</f>
        <v>0.94434198894056409</v>
      </c>
      <c r="AS60" s="118">
        <f t="shared" ref="AS60:AS91" si="160">1000*(4*(EE60/60.08)-11*(EL60/61.98*2+EM60/94.2*2)-2*(EH60/159.69+EF60/79.87))</f>
        <v>834.62215120783696</v>
      </c>
      <c r="AT60" s="118">
        <f t="shared" ref="AT60:AT91" si="161">1000*(6*(EK60/56.08)+2*(EJ60/40.3)+EG60/101.96*2)</f>
        <v>2643.5783887068014</v>
      </c>
      <c r="AU60" s="14">
        <f t="shared" ref="AU60:AU91" si="162">O60/G60</f>
        <v>8.815502183406114E-2</v>
      </c>
      <c r="AV60" s="14">
        <f t="shared" ref="AV60:AV91" si="163">(O60/94.2)/(I60/101.96)</f>
        <v>0.50741374156829033</v>
      </c>
      <c r="AX60" s="118">
        <v>108.49</v>
      </c>
      <c r="AY60" s="118">
        <v>2499.42</v>
      </c>
      <c r="AZ60" s="118">
        <v>1897.58</v>
      </c>
      <c r="BA60" s="117">
        <v>0.45</v>
      </c>
      <c r="BB60" s="118">
        <v>23.84</v>
      </c>
      <c r="BC60" s="118">
        <v>183.92</v>
      </c>
      <c r="BD60" s="118">
        <v>668.04</v>
      </c>
      <c r="BE60" s="118">
        <v>53.99</v>
      </c>
      <c r="BF60" s="118">
        <v>283.44</v>
      </c>
      <c r="BG60" s="118">
        <v>116.96</v>
      </c>
      <c r="BH60" s="118">
        <v>125.62</v>
      </c>
      <c r="BI60" s="118">
        <v>16.96</v>
      </c>
      <c r="BJ60" s="118">
        <v>272.27999999999997</v>
      </c>
      <c r="BK60" s="118">
        <v>238.7</v>
      </c>
      <c r="BL60" s="117">
        <v>6.23</v>
      </c>
      <c r="BM60" s="117">
        <v>12</v>
      </c>
      <c r="BN60" s="117">
        <v>219.44</v>
      </c>
      <c r="BO60" s="117">
        <v>420.71</v>
      </c>
      <c r="BP60" s="117">
        <v>48.54</v>
      </c>
      <c r="BQ60" s="117">
        <v>169.82</v>
      </c>
      <c r="BR60" s="14">
        <v>19.97</v>
      </c>
      <c r="BS60" s="14">
        <v>5</v>
      </c>
      <c r="BT60" s="117">
        <v>12.09</v>
      </c>
      <c r="BU60" s="14">
        <v>1.08</v>
      </c>
      <c r="BV60" s="14">
        <v>4.0599999999999996</v>
      </c>
      <c r="BW60" s="14">
        <v>0.61</v>
      </c>
      <c r="BX60" s="14">
        <v>1.29</v>
      </c>
      <c r="BY60" s="14">
        <v>0.17</v>
      </c>
      <c r="BZ60" s="14">
        <v>1.03</v>
      </c>
      <c r="CA60" s="14">
        <v>0.15</v>
      </c>
      <c r="CB60" s="117">
        <v>7.46</v>
      </c>
      <c r="CC60" s="117">
        <v>28.34</v>
      </c>
      <c r="CD60" s="118">
        <v>6.27</v>
      </c>
      <c r="CE60" s="118">
        <v>13.36</v>
      </c>
      <c r="CG60" s="22">
        <f t="shared" ref="CG60:CG73" si="164">BN60/0.242</f>
        <v>906.77685950413229</v>
      </c>
      <c r="CH60" s="22">
        <f t="shared" ref="CH60:CH73" si="165">BO60/0.635</f>
        <v>662.53543307086613</v>
      </c>
      <c r="CI60" s="22">
        <f t="shared" ref="CI60:CI73" si="166">BP60/0.0963</f>
        <v>504.04984423676012</v>
      </c>
      <c r="CJ60" s="22">
        <f>BQ60/0.48</f>
        <v>353.79166666666669</v>
      </c>
      <c r="CK60" s="22">
        <f>BR60/0.156</f>
        <v>128.0128205128205</v>
      </c>
      <c r="CL60" s="22">
        <f t="shared" ref="CL60:CL73" si="167">BS60/0.0591</f>
        <v>84.602368866328263</v>
      </c>
      <c r="CM60" s="22">
        <f t="shared" ref="CM60:CM73" si="168">BT60/0.212</f>
        <v>57.028301886792455</v>
      </c>
      <c r="CN60" s="22">
        <f t="shared" ref="CN60:CN73" si="169">BU60/0.0376</f>
        <v>28.723404255319149</v>
      </c>
      <c r="CO60" s="22">
        <f t="shared" ref="CO60:CO73" si="170">BV60/0.259</f>
        <v>15.675675675675674</v>
      </c>
      <c r="CP60" s="22">
        <f t="shared" ref="CP60:CP73" si="171">BW60/0.0585</f>
        <v>10.427350427350426</v>
      </c>
      <c r="CQ60" s="22">
        <f t="shared" ref="CQ60:CQ73" si="172">BX60/0.163</f>
        <v>7.9141104294478524</v>
      </c>
      <c r="CR60" s="22">
        <f t="shared" ref="CR60:CR73" si="173">BY60/0.0256</f>
        <v>6.640625</v>
      </c>
      <c r="CS60" s="22">
        <f t="shared" ref="CS60:CS73" si="174">BZ60/0.166</f>
        <v>6.2048192771084336</v>
      </c>
      <c r="CT60" s="22">
        <f>CA60/0.025</f>
        <v>5.9999999999999991</v>
      </c>
      <c r="CU60" s="22">
        <f t="shared" ref="CU60:CU73" si="175">AZ60/BK60</f>
        <v>7.9496439044826142</v>
      </c>
      <c r="CV60" s="117">
        <f t="shared" ref="CV60:CV73" si="176">AZ60/BN60</f>
        <v>8.6473751367116289</v>
      </c>
      <c r="CW60" s="22">
        <f t="shared" si="138"/>
        <v>0.91931294511939676</v>
      </c>
      <c r="CX60" s="20">
        <f t="shared" ref="CX60:CX73" si="177">AG60/BK60</f>
        <v>99.456221198156683</v>
      </c>
      <c r="CY60" s="22">
        <f t="shared" ref="CY60:CY73" si="178">BO60/CB60</f>
        <v>56.39544235924933</v>
      </c>
      <c r="CZ60" s="22">
        <f t="shared" ref="CZ60:CZ73" si="179">BK60/CD60</f>
        <v>38.070175438596493</v>
      </c>
      <c r="DA60" s="22">
        <f>AX60/BR60</f>
        <v>5.4326489734601902</v>
      </c>
      <c r="DB60" s="22">
        <f t="shared" si="139"/>
        <v>1.1406786761625471</v>
      </c>
      <c r="DC60" s="22">
        <f t="shared" ref="DC60:DC73" si="180">AZ60/CC60</f>
        <v>66.957657021877196</v>
      </c>
      <c r="DD60" s="22">
        <f t="shared" si="140"/>
        <v>2.3616666666666668</v>
      </c>
      <c r="DE60" s="22">
        <f t="shared" si="141"/>
        <v>11.650485436893204</v>
      </c>
      <c r="DF60" s="22">
        <f t="shared" si="142"/>
        <v>27.514563106796114</v>
      </c>
      <c r="DG60" s="19">
        <f t="shared" ref="DG60:DG73" si="181">BK60/BI60</f>
        <v>14.074292452830187</v>
      </c>
      <c r="DH60" s="20">
        <f t="shared" si="143"/>
        <v>122.19950783813343</v>
      </c>
      <c r="DI60" s="19">
        <f t="shared" ref="DI60:DI73" si="182">(BK60/0.46)/((O60/0.023)*(CD60/0.017))^0.5</f>
        <v>2.2800687087173399</v>
      </c>
      <c r="DJ60" s="22">
        <f>BN60/CA60</f>
        <v>1462.9333333333334</v>
      </c>
      <c r="DK60" s="22">
        <f>CG60/CT60</f>
        <v>151.12947658402206</v>
      </c>
      <c r="DL60" s="22">
        <f>CG60/CK60</f>
        <v>7.0834847312290767</v>
      </c>
      <c r="DM60" s="22">
        <f t="shared" si="144"/>
        <v>213.04854368932038</v>
      </c>
      <c r="DN60" s="22">
        <f>BR60/BZ60</f>
        <v>19.388349514563107</v>
      </c>
      <c r="DO60" s="22">
        <f>BL60/BQ60</f>
        <v>3.6685902720527623E-2</v>
      </c>
      <c r="DP60" s="20">
        <f>AY60/BZ60</f>
        <v>2426.6213592233012</v>
      </c>
      <c r="DQ60" s="22">
        <f>AY60/BQ60</f>
        <v>14.71805441055235</v>
      </c>
      <c r="DR60" s="22">
        <f>AY60/(((BR60/0.195)*(BT60/0.259))^0.5)</f>
        <v>36.149662377120599</v>
      </c>
      <c r="DS60" s="19">
        <f>(BS60/0.074)/(((BR60/0.195)*(BT60/0.259))^0.5)</f>
        <v>0.97724462283683866</v>
      </c>
      <c r="DT60" s="23">
        <f>1/AY60</f>
        <v>4.00092821534596E-4</v>
      </c>
      <c r="DU60" s="22">
        <f t="shared" ref="DU60:DU73" si="183">BJ60/BI60</f>
        <v>16.054245283018865</v>
      </c>
      <c r="DV60" s="22">
        <f t="shared" si="145"/>
        <v>19.891666666666666</v>
      </c>
      <c r="DW60" s="22">
        <f t="shared" ref="DW60:DW73" si="184">1.74+LOG(BK60/BI60)-1.92*LOG(BJ60/BI60)</f>
        <v>0.5736939745832772</v>
      </c>
      <c r="DX60" s="22">
        <f t="shared" si="146"/>
        <v>87.667107389452042</v>
      </c>
      <c r="DY60" s="22">
        <f t="shared" si="147"/>
        <v>10.408403114441018</v>
      </c>
      <c r="DZ60" s="19">
        <f>EK60*100/AY60</f>
        <v>0.6648526853000033</v>
      </c>
      <c r="EA60" s="23">
        <f t="shared" ref="EA60:EA73" si="185">BA60/BN60</f>
        <v>2.0506744440393731E-3</v>
      </c>
      <c r="EB60" s="19">
        <f t="shared" si="148"/>
        <v>0.11872643485546712</v>
      </c>
      <c r="EC60" s="19">
        <f t="shared" ref="EC60:EC73" si="186">(CB60/0.144)/(CH60*CI60)^(1/2)</f>
        <v>8.9646850844382842E-2</v>
      </c>
      <c r="EE60" s="19">
        <f t="shared" ref="EE60:EE91" si="187">100*G60/($G60+$H60+$I60+$J60+$K60+$L60+$M60+$N60+$O60+$P60)</f>
        <v>38.633487979755373</v>
      </c>
      <c r="EF60" s="19">
        <f t="shared" ref="EF60:EF91" si="188">100*H60/($G60+$H60+$I60+$J60+$K60+$L60+$M60+$N60+$O60+$P60)</f>
        <v>4.1754533951919015</v>
      </c>
      <c r="EG60" s="19">
        <f t="shared" ref="EG60:EG91" si="189">100*I60/($G60+$H60+$I60+$J60+$K60+$L60+$M60+$N60+$O60+$P60)</f>
        <v>7.2648671446646969</v>
      </c>
      <c r="EH60" s="19">
        <f t="shared" ref="EH60:EH91" si="190">100*J60/($G60+$H60+$I60+$J60+$K60+$L60+$M60+$N60+$O60+$P60)</f>
        <v>12.188949810206662</v>
      </c>
      <c r="EI60" s="19">
        <f t="shared" ref="EI60:EI91" si="191">100*K60/($G60+$H60+$I60+$J60+$K60+$L60+$M60+$N60+$O60+$P60)</f>
        <v>0.21088148460565159</v>
      </c>
      <c r="EJ60" s="19">
        <f t="shared" ref="EJ60:EJ91" si="192">100*L60/($G60+$H60+$I60+$J60+$K60+$L60+$M60+$N60+$O60+$P60)</f>
        <v>14.571910586250524</v>
      </c>
      <c r="EK60" s="19">
        <f t="shared" ref="EK60:EK91" si="193">100*M60/($G60+$H60+$I60+$J60+$K60+$L60+$M60+$N60+$O60+$P60)</f>
        <v>16.617460986925344</v>
      </c>
      <c r="EL60" s="19">
        <f t="shared" ref="EL60:EL91" si="194">100*N60/($G60+$H60+$I60+$J60+$K60+$L60+$M60+$N60+$O60+$P60)</f>
        <v>1.9295655841417121</v>
      </c>
      <c r="EM60" s="19">
        <f t="shared" ref="EM60:EM91" si="195">100*O60/($G60+$H60+$I60+$J60+$K60+$L60+$M60+$N60+$O60+$P60)</f>
        <v>3.4057359763812731</v>
      </c>
      <c r="EN60" s="19">
        <f t="shared" ref="EN60:EN91" si="196">100*P60/($G60+$H60+$I60+$J60+$K60+$L60+$M60+$N60+$O60+$P60)</f>
        <v>1.001687051876845</v>
      </c>
      <c r="EO60" s="19">
        <f t="shared" ref="EO60:EO91" si="197">SUM(EE60:EN60)</f>
        <v>100</v>
      </c>
      <c r="EP60" s="14"/>
      <c r="EU60" s="36"/>
      <c r="EV60" s="36"/>
    </row>
    <row r="61" spans="1:152">
      <c r="A61" s="1" t="s">
        <v>7</v>
      </c>
      <c r="B61" s="36" t="s">
        <v>34</v>
      </c>
      <c r="C61" s="36">
        <v>2</v>
      </c>
      <c r="D61" s="1" t="s">
        <v>30</v>
      </c>
      <c r="E61" s="1" t="s">
        <v>4</v>
      </c>
      <c r="F61" s="2" t="s">
        <v>3</v>
      </c>
      <c r="G61" s="14">
        <v>32.29</v>
      </c>
      <c r="H61" s="14">
        <v>4.9400000000000004</v>
      </c>
      <c r="I61" s="14">
        <v>5.69</v>
      </c>
      <c r="J61" s="14">
        <v>12.62</v>
      </c>
      <c r="K61" s="14">
        <v>0.21</v>
      </c>
      <c r="L61" s="14">
        <v>14.78</v>
      </c>
      <c r="M61" s="14">
        <v>15.02</v>
      </c>
      <c r="N61" s="14">
        <v>1.43</v>
      </c>
      <c r="O61" s="14">
        <v>2.5099999999999998</v>
      </c>
      <c r="P61" s="14">
        <v>1.08</v>
      </c>
      <c r="Q61" s="14">
        <v>7.4</v>
      </c>
      <c r="R61" s="14"/>
      <c r="S61" s="15">
        <f t="shared" si="134"/>
        <v>97.97</v>
      </c>
      <c r="U61" s="86">
        <v>0.70505600000000002</v>
      </c>
      <c r="V61" s="86">
        <v>0.51257799999999998</v>
      </c>
      <c r="W61" s="84"/>
      <c r="X61" s="84"/>
      <c r="Y61" s="84"/>
      <c r="Z61" s="131"/>
      <c r="AA61" s="131"/>
      <c r="AB61" s="14"/>
      <c r="AC61" s="14"/>
      <c r="AD61" s="14"/>
      <c r="AF61" s="19">
        <f t="shared" si="149"/>
        <v>0.73185897546610157</v>
      </c>
      <c r="AG61" s="20">
        <f t="shared" si="150"/>
        <v>29615.300000000003</v>
      </c>
      <c r="AH61" s="20">
        <f t="shared" si="135"/>
        <v>20838.019999999997</v>
      </c>
      <c r="AI61" s="20">
        <f t="shared" si="151"/>
        <v>4713.12</v>
      </c>
      <c r="AJ61" s="19">
        <f t="shared" si="136"/>
        <v>3.9399999999999995</v>
      </c>
      <c r="AK61" s="19">
        <f t="shared" si="152"/>
        <v>1.7552447552447552</v>
      </c>
      <c r="AL61" s="19">
        <f t="shared" si="153"/>
        <v>0.56972111553784865</v>
      </c>
      <c r="AM61" s="19">
        <f t="shared" si="154"/>
        <v>2.6397188049209137</v>
      </c>
      <c r="AN61" s="19">
        <f t="shared" si="155"/>
        <v>0.44112478031634439</v>
      </c>
      <c r="AO61" s="19">
        <f t="shared" si="156"/>
        <v>0.89089375855446573</v>
      </c>
      <c r="AP61" s="19">
        <f t="shared" si="157"/>
        <v>1.1224682970308002</v>
      </c>
      <c r="AQ61" s="19">
        <f t="shared" si="158"/>
        <v>0.17574039735680635</v>
      </c>
      <c r="AR61" s="19">
        <f t="shared" si="159"/>
        <v>0.89089375855446573</v>
      </c>
      <c r="AS61" s="118">
        <f t="shared" si="160"/>
        <v>854.8750706845309</v>
      </c>
      <c r="AT61" s="118">
        <f t="shared" si="161"/>
        <v>2707.4099266743788</v>
      </c>
      <c r="AU61" s="14">
        <f t="shared" si="162"/>
        <v>7.7733044286156697E-2</v>
      </c>
      <c r="AV61" s="14">
        <f t="shared" si="163"/>
        <v>0.47746372187955916</v>
      </c>
      <c r="AX61" s="118">
        <v>108.49</v>
      </c>
      <c r="AY61" s="118">
        <v>2499.42</v>
      </c>
      <c r="AZ61" s="118">
        <v>2196.5500000000002</v>
      </c>
      <c r="BA61" s="117">
        <v>0.75</v>
      </c>
      <c r="BB61" s="118">
        <v>30.95</v>
      </c>
      <c r="BC61" s="118">
        <v>339.12</v>
      </c>
      <c r="BD61" s="118">
        <v>542.54</v>
      </c>
      <c r="BE61" s="118">
        <v>53.24</v>
      </c>
      <c r="BF61" s="118">
        <v>173.26</v>
      </c>
      <c r="BG61" s="118">
        <v>132.41999999999999</v>
      </c>
      <c r="BH61" s="118">
        <v>117.1</v>
      </c>
      <c r="BI61" s="118">
        <v>21.77</v>
      </c>
      <c r="BJ61" s="118">
        <v>393.54</v>
      </c>
      <c r="BK61" s="118">
        <v>232.74</v>
      </c>
      <c r="BL61" s="117">
        <v>8.92</v>
      </c>
      <c r="BM61" s="117">
        <v>11.84</v>
      </c>
      <c r="BN61" s="117">
        <v>185.29</v>
      </c>
      <c r="BO61" s="117">
        <v>356.27</v>
      </c>
      <c r="BP61" s="117">
        <v>42.06</v>
      </c>
      <c r="BQ61" s="117">
        <v>151.36000000000001</v>
      </c>
      <c r="BR61" s="14">
        <v>19.87</v>
      </c>
      <c r="BS61" s="14">
        <v>5.26</v>
      </c>
      <c r="BT61" s="117">
        <v>13.01</v>
      </c>
      <c r="BU61" s="14">
        <v>1.31</v>
      </c>
      <c r="BV61" s="14">
        <v>5.18</v>
      </c>
      <c r="BW61" s="14">
        <v>0.78</v>
      </c>
      <c r="BX61" s="14">
        <v>1.64</v>
      </c>
      <c r="BY61" s="14">
        <v>0.22</v>
      </c>
      <c r="BZ61" s="14">
        <v>1.2</v>
      </c>
      <c r="CA61" s="14">
        <v>0.17</v>
      </c>
      <c r="CB61" s="117">
        <v>8.58</v>
      </c>
      <c r="CC61" s="117">
        <v>22.46</v>
      </c>
      <c r="CD61" s="118">
        <v>5.19</v>
      </c>
      <c r="CE61" s="118">
        <v>12.69</v>
      </c>
      <c r="CG61" s="22">
        <f t="shared" si="164"/>
        <v>765.6611570247934</v>
      </c>
      <c r="CH61" s="22">
        <f t="shared" si="165"/>
        <v>561.05511811023621</v>
      </c>
      <c r="CI61" s="22">
        <f t="shared" si="166"/>
        <v>436.76012461059196</v>
      </c>
      <c r="CJ61" s="22">
        <f>BQ61/0.48</f>
        <v>315.33333333333337</v>
      </c>
      <c r="CK61" s="22">
        <f>BR61/0.156</f>
        <v>127.37179487179488</v>
      </c>
      <c r="CL61" s="22">
        <f t="shared" si="167"/>
        <v>89.001692047377318</v>
      </c>
      <c r="CM61" s="22">
        <f t="shared" si="168"/>
        <v>61.367924528301884</v>
      </c>
      <c r="CN61" s="22">
        <f t="shared" si="169"/>
        <v>34.840425531914896</v>
      </c>
      <c r="CO61" s="22">
        <f t="shared" si="170"/>
        <v>20</v>
      </c>
      <c r="CP61" s="22">
        <f t="shared" si="171"/>
        <v>13.333333333333332</v>
      </c>
      <c r="CQ61" s="22">
        <f t="shared" si="172"/>
        <v>10.061349693251532</v>
      </c>
      <c r="CR61" s="22">
        <f t="shared" si="173"/>
        <v>8.59375</v>
      </c>
      <c r="CS61" s="22">
        <f t="shared" si="174"/>
        <v>7.2289156626506017</v>
      </c>
      <c r="CT61" s="22">
        <f>CA61/0.025</f>
        <v>6.8</v>
      </c>
      <c r="CU61" s="22">
        <f t="shared" si="175"/>
        <v>9.4377846524018221</v>
      </c>
      <c r="CV61" s="117">
        <f t="shared" si="176"/>
        <v>11.854660262291544</v>
      </c>
      <c r="CW61" s="22">
        <f t="shared" si="138"/>
        <v>0.79612443069519634</v>
      </c>
      <c r="CX61" s="20">
        <f t="shared" si="177"/>
        <v>127.24628340637622</v>
      </c>
      <c r="CY61" s="22">
        <f t="shared" si="178"/>
        <v>41.523310023310017</v>
      </c>
      <c r="CZ61" s="22">
        <f t="shared" si="179"/>
        <v>44.843930635838149</v>
      </c>
      <c r="DA61" s="22">
        <f>AX61/BR61</f>
        <v>5.4599899345747351</v>
      </c>
      <c r="DB61" s="22">
        <f t="shared" si="139"/>
        <v>1.6908997164217583</v>
      </c>
      <c r="DC61" s="22">
        <f t="shared" si="180"/>
        <v>97.798308103294744</v>
      </c>
      <c r="DD61" s="22">
        <f t="shared" si="140"/>
        <v>1.8969594594594597</v>
      </c>
      <c r="DE61" s="22">
        <f t="shared" si="141"/>
        <v>9.8666666666666671</v>
      </c>
      <c r="DF61" s="22">
        <f t="shared" si="142"/>
        <v>18.716666666666669</v>
      </c>
      <c r="DG61" s="19">
        <f t="shared" si="181"/>
        <v>10.690858980248048</v>
      </c>
      <c r="DH61" s="20">
        <f t="shared" si="143"/>
        <v>112.46165470343784</v>
      </c>
      <c r="DI61" s="19">
        <f t="shared" si="182"/>
        <v>2.7719222040830576</v>
      </c>
      <c r="DJ61" s="22">
        <f>BN61/CA61</f>
        <v>1089.9411764705881</v>
      </c>
      <c r="DK61" s="22">
        <f>CG61/CT61</f>
        <v>112.59722897423433</v>
      </c>
      <c r="DL61" s="22">
        <f>CG61/CK61</f>
        <v>6.0112300199228867</v>
      </c>
      <c r="DM61" s="22">
        <f t="shared" si="144"/>
        <v>154.40833333333333</v>
      </c>
      <c r="DN61" s="22">
        <f>BR61/BZ61</f>
        <v>16.558333333333334</v>
      </c>
      <c r="DO61" s="22">
        <f>BL61/BQ61</f>
        <v>5.8932346723044392E-2</v>
      </c>
      <c r="DP61" s="20">
        <f>AY61/BZ61</f>
        <v>2082.8500000000004</v>
      </c>
      <c r="DQ61" s="22">
        <f>AY61/BQ61</f>
        <v>16.513081395348838</v>
      </c>
      <c r="DR61" s="22">
        <f>AY61/(((BR61/0.195)*(BT61/0.259))^0.5)</f>
        <v>34.935651492859769</v>
      </c>
      <c r="DS61" s="19">
        <f>(BS61/0.074)/(((BR61/0.195)*(BT61/0.259))^0.5)</f>
        <v>0.99353605091755559</v>
      </c>
      <c r="DT61" s="23">
        <f>1/AY61</f>
        <v>4.00092821534596E-4</v>
      </c>
      <c r="DU61" s="22">
        <f t="shared" si="183"/>
        <v>18.077170418006432</v>
      </c>
      <c r="DV61" s="22">
        <f t="shared" si="145"/>
        <v>19.657094594594597</v>
      </c>
      <c r="DW61" s="22">
        <f t="shared" si="184"/>
        <v>0.35532213263300427</v>
      </c>
      <c r="DX61" s="22">
        <f t="shared" si="146"/>
        <v>59.140112822076532</v>
      </c>
      <c r="DY61" s="22">
        <f t="shared" si="147"/>
        <v>5.7071708085582147</v>
      </c>
      <c r="DZ61" s="19">
        <f>EK61*100/AY61</f>
        <v>0.66350824549515652</v>
      </c>
      <c r="EA61" s="23">
        <f t="shared" si="185"/>
        <v>4.0477089967078635E-3</v>
      </c>
      <c r="EB61" s="19">
        <f t="shared" si="148"/>
        <v>9.6502535017616228E-2</v>
      </c>
      <c r="EC61" s="19">
        <f t="shared" si="186"/>
        <v>0.12036508888941801</v>
      </c>
      <c r="EE61" s="19">
        <f t="shared" si="187"/>
        <v>35.651981892458878</v>
      </c>
      <c r="EF61" s="19">
        <f t="shared" si="188"/>
        <v>5.4543447057524581</v>
      </c>
      <c r="EG61" s="19">
        <f t="shared" si="189"/>
        <v>6.2824334768687207</v>
      </c>
      <c r="EH61" s="19">
        <f t="shared" si="190"/>
        <v>13.933973721982998</v>
      </c>
      <c r="EI61" s="19">
        <f t="shared" si="191"/>
        <v>0.23186485591255385</v>
      </c>
      <c r="EJ61" s="19">
        <f t="shared" si="192"/>
        <v>16.318869382797835</v>
      </c>
      <c r="EK61" s="19">
        <f t="shared" si="193"/>
        <v>16.58385778955504</v>
      </c>
      <c r="EL61" s="19">
        <f t="shared" si="194"/>
        <v>1.5788892569283428</v>
      </c>
      <c r="EM61" s="19">
        <f t="shared" si="195"/>
        <v>2.7713370873357621</v>
      </c>
      <c r="EN61" s="19">
        <f t="shared" si="196"/>
        <v>1.1924478304074198</v>
      </c>
      <c r="EO61" s="19">
        <f t="shared" si="197"/>
        <v>100.00000000000001</v>
      </c>
      <c r="EP61" s="14"/>
      <c r="EU61" s="36"/>
      <c r="EV61" s="36"/>
    </row>
    <row r="62" spans="1:152">
      <c r="A62" s="1" t="s">
        <v>7</v>
      </c>
      <c r="B62" s="1" t="s">
        <v>33</v>
      </c>
      <c r="C62" s="1">
        <v>2</v>
      </c>
      <c r="D62" s="1" t="s">
        <v>30</v>
      </c>
      <c r="E62" s="1" t="s">
        <v>4</v>
      </c>
      <c r="F62" s="2" t="s">
        <v>3</v>
      </c>
      <c r="G62" s="132">
        <v>35.4</v>
      </c>
      <c r="H62" s="132">
        <v>4.1900000000000004</v>
      </c>
      <c r="I62" s="132">
        <v>6.33</v>
      </c>
      <c r="J62" s="132">
        <v>11.76</v>
      </c>
      <c r="K62" s="132">
        <v>0.2</v>
      </c>
      <c r="L62" s="132">
        <v>13.32</v>
      </c>
      <c r="M62" s="132">
        <v>16.559999999999999</v>
      </c>
      <c r="N62" s="132">
        <v>1.23</v>
      </c>
      <c r="O62" s="132">
        <v>2.12</v>
      </c>
      <c r="P62" s="132">
        <v>0.96</v>
      </c>
      <c r="Q62" s="132">
        <v>5.83</v>
      </c>
      <c r="R62" s="14"/>
      <c r="S62" s="15">
        <f t="shared" si="134"/>
        <v>97.899999999999991</v>
      </c>
      <c r="U62" s="86">
        <v>0.70475600000000005</v>
      </c>
      <c r="V62" s="86">
        <v>0.51257799999999998</v>
      </c>
      <c r="W62" s="84"/>
      <c r="X62" s="84"/>
      <c r="Y62" s="84"/>
      <c r="Z62" s="131"/>
      <c r="AA62" s="131"/>
      <c r="AB62" s="14"/>
      <c r="AC62" s="14"/>
      <c r="AD62" s="14"/>
      <c r="AF62" s="19">
        <f t="shared" si="149"/>
        <v>0.72524813099265362</v>
      </c>
      <c r="AG62" s="20">
        <f t="shared" si="150"/>
        <v>25119.050000000003</v>
      </c>
      <c r="AH62" s="20">
        <f t="shared" si="135"/>
        <v>17600.240000000002</v>
      </c>
      <c r="AI62" s="20">
        <f t="shared" si="151"/>
        <v>4189.4399999999996</v>
      </c>
      <c r="AJ62" s="19">
        <f t="shared" si="136"/>
        <v>3.35</v>
      </c>
      <c r="AK62" s="19">
        <f t="shared" si="152"/>
        <v>1.7235772357723578</v>
      </c>
      <c r="AL62" s="19">
        <f t="shared" si="153"/>
        <v>0.58018867924528295</v>
      </c>
      <c r="AM62" s="19">
        <f t="shared" si="154"/>
        <v>2.6161137440758289</v>
      </c>
      <c r="AN62" s="19">
        <f t="shared" si="155"/>
        <v>0.33491311216429703</v>
      </c>
      <c r="AO62" s="19">
        <f t="shared" si="156"/>
        <v>0.68215619901777358</v>
      </c>
      <c r="AP62" s="19">
        <f t="shared" si="157"/>
        <v>1.4659399144065317</v>
      </c>
      <c r="AQ62" s="19">
        <f t="shared" si="158"/>
        <v>0.18387230263475035</v>
      </c>
      <c r="AR62" s="19">
        <f t="shared" si="159"/>
        <v>0.68215619901777358</v>
      </c>
      <c r="AS62" s="118">
        <f t="shared" si="160"/>
        <v>1273.9681113285467</v>
      </c>
      <c r="AT62" s="118">
        <f t="shared" si="161"/>
        <v>2777.1946992482408</v>
      </c>
      <c r="AU62" s="14">
        <f t="shared" si="162"/>
        <v>5.9887005649717523E-2</v>
      </c>
      <c r="AV62" s="14">
        <f t="shared" si="163"/>
        <v>0.36250255749757671</v>
      </c>
      <c r="AX62" s="118"/>
      <c r="AY62" s="118"/>
      <c r="AZ62" s="133">
        <v>1943</v>
      </c>
      <c r="BA62" s="134">
        <v>0.6</v>
      </c>
      <c r="BB62" s="133">
        <v>20</v>
      </c>
      <c r="BC62" s="133">
        <v>162</v>
      </c>
      <c r="BD62" s="133">
        <v>602</v>
      </c>
      <c r="BE62" s="133">
        <v>54</v>
      </c>
      <c r="BF62" s="133">
        <v>270</v>
      </c>
      <c r="BG62" s="133">
        <v>119</v>
      </c>
      <c r="BH62" s="133">
        <v>108</v>
      </c>
      <c r="BI62" s="133">
        <v>18</v>
      </c>
      <c r="BJ62" s="133">
        <v>311</v>
      </c>
      <c r="BK62" s="133">
        <v>271</v>
      </c>
      <c r="BL62" s="134"/>
      <c r="BM62" s="134">
        <v>14</v>
      </c>
      <c r="BN62" s="134">
        <v>223</v>
      </c>
      <c r="BO62" s="134">
        <v>383</v>
      </c>
      <c r="BP62" s="134">
        <v>49</v>
      </c>
      <c r="BQ62" s="117"/>
      <c r="BR62" s="14"/>
      <c r="BS62" s="135">
        <v>5.3</v>
      </c>
      <c r="BT62" s="134">
        <v>12</v>
      </c>
      <c r="BU62" s="135">
        <v>1.1399999999999999</v>
      </c>
      <c r="BV62" s="135">
        <v>4.5</v>
      </c>
      <c r="BW62" s="135">
        <v>0.65</v>
      </c>
      <c r="BX62" s="135">
        <v>1.36</v>
      </c>
      <c r="BY62" s="135">
        <v>0.18</v>
      </c>
      <c r="BZ62" s="135">
        <v>1.08</v>
      </c>
      <c r="CA62" s="14"/>
      <c r="CB62" s="134">
        <v>8.6</v>
      </c>
      <c r="CC62" s="134">
        <v>29</v>
      </c>
      <c r="CD62" s="133">
        <v>7</v>
      </c>
      <c r="CE62" s="133">
        <v>12</v>
      </c>
      <c r="CG62" s="22">
        <f t="shared" si="164"/>
        <v>921.48760330578511</v>
      </c>
      <c r="CH62" s="22">
        <f t="shared" si="165"/>
        <v>603.14960629921256</v>
      </c>
      <c r="CI62" s="22">
        <f t="shared" si="166"/>
        <v>508.82658359293873</v>
      </c>
      <c r="CJ62" s="22"/>
      <c r="CK62" s="22"/>
      <c r="CL62" s="22">
        <f t="shared" si="167"/>
        <v>89.678510998307956</v>
      </c>
      <c r="CM62" s="22">
        <f t="shared" si="168"/>
        <v>56.60377358490566</v>
      </c>
      <c r="CN62" s="22">
        <f t="shared" si="169"/>
        <v>30.319148936170208</v>
      </c>
      <c r="CO62" s="22">
        <f t="shared" si="170"/>
        <v>17.374517374517374</v>
      </c>
      <c r="CP62" s="22">
        <f t="shared" si="171"/>
        <v>11.111111111111111</v>
      </c>
      <c r="CQ62" s="22">
        <f t="shared" si="172"/>
        <v>8.3435582822085887</v>
      </c>
      <c r="CR62" s="22">
        <f t="shared" si="173"/>
        <v>7.0312499999999991</v>
      </c>
      <c r="CS62" s="22">
        <f t="shared" si="174"/>
        <v>6.5060240963855422</v>
      </c>
      <c r="CT62" s="22"/>
      <c r="CU62" s="22">
        <f t="shared" si="175"/>
        <v>7.1697416974169741</v>
      </c>
      <c r="CV62" s="117">
        <f t="shared" si="176"/>
        <v>8.7130044843049319</v>
      </c>
      <c r="CW62" s="22">
        <f t="shared" si="138"/>
        <v>0.82287822878228778</v>
      </c>
      <c r="CX62" s="20">
        <f t="shared" si="177"/>
        <v>92.690221402214036</v>
      </c>
      <c r="CY62" s="22">
        <f t="shared" si="178"/>
        <v>44.534883720930232</v>
      </c>
      <c r="CZ62" s="22">
        <f t="shared" si="179"/>
        <v>38.714285714285715</v>
      </c>
      <c r="DA62" s="22"/>
      <c r="DB62" s="22">
        <f t="shared" si="139"/>
        <v>1.1476014760147601</v>
      </c>
      <c r="DC62" s="22">
        <f t="shared" si="180"/>
        <v>67</v>
      </c>
      <c r="DD62" s="22">
        <f t="shared" si="140"/>
        <v>2.0714285714285716</v>
      </c>
      <c r="DE62" s="22">
        <f t="shared" si="141"/>
        <v>12.962962962962962</v>
      </c>
      <c r="DF62" s="22">
        <f t="shared" si="142"/>
        <v>26.851851851851851</v>
      </c>
      <c r="DG62" s="19">
        <f t="shared" si="181"/>
        <v>15.055555555555555</v>
      </c>
      <c r="DH62" s="20">
        <f t="shared" si="143"/>
        <v>78.924843049327364</v>
      </c>
      <c r="DI62" s="19">
        <f t="shared" si="182"/>
        <v>3.0240076634375841</v>
      </c>
      <c r="DJ62" s="22"/>
      <c r="DK62" s="22"/>
      <c r="DL62" s="22"/>
      <c r="DM62" s="22">
        <f t="shared" si="144"/>
        <v>206.48148148148147</v>
      </c>
      <c r="DN62" s="22"/>
      <c r="DO62" s="22"/>
      <c r="DP62" s="20"/>
      <c r="DQ62" s="22"/>
      <c r="DR62" s="22"/>
      <c r="DS62" s="19"/>
      <c r="DT62" s="23"/>
      <c r="DU62" s="22">
        <f t="shared" si="183"/>
        <v>17.277777777777779</v>
      </c>
      <c r="DV62" s="22">
        <f t="shared" si="145"/>
        <v>19.357142857142858</v>
      </c>
      <c r="DW62" s="22">
        <f t="shared" si="184"/>
        <v>0.54172004863791923</v>
      </c>
      <c r="DX62" s="22">
        <f t="shared" si="146"/>
        <v>87.138263665594849</v>
      </c>
      <c r="DY62" s="22">
        <f t="shared" si="147"/>
        <v>9.32475884244373</v>
      </c>
      <c r="DZ62" s="19"/>
      <c r="EA62" s="23">
        <f t="shared" si="185"/>
        <v>2.6905829596412553E-3</v>
      </c>
      <c r="EB62" s="19">
        <f t="shared" si="148"/>
        <v>0.1070110701107011</v>
      </c>
      <c r="EC62" s="19">
        <f t="shared" si="186"/>
        <v>0.10780490925839552</v>
      </c>
      <c r="EE62" s="19">
        <f t="shared" si="187"/>
        <v>38.449006190941681</v>
      </c>
      <c r="EF62" s="19">
        <f t="shared" si="188"/>
        <v>4.5508851960464876</v>
      </c>
      <c r="EG62" s="19">
        <f t="shared" si="189"/>
        <v>6.8752036493971982</v>
      </c>
      <c r="EH62" s="19">
        <f t="shared" si="190"/>
        <v>12.772890192245033</v>
      </c>
      <c r="EI62" s="19">
        <f t="shared" si="191"/>
        <v>0.2172260236776366</v>
      </c>
      <c r="EJ62" s="19">
        <f t="shared" si="192"/>
        <v>14.467253176930598</v>
      </c>
      <c r="EK62" s="19">
        <f t="shared" si="193"/>
        <v>17.986314760508307</v>
      </c>
      <c r="EL62" s="19">
        <f t="shared" si="194"/>
        <v>1.335940045617465</v>
      </c>
      <c r="EM62" s="19">
        <f t="shared" si="195"/>
        <v>2.3025958509829478</v>
      </c>
      <c r="EN62" s="19">
        <f t="shared" si="196"/>
        <v>1.0426849136526557</v>
      </c>
      <c r="EO62" s="19">
        <f t="shared" si="197"/>
        <v>100.00000000000001</v>
      </c>
      <c r="EP62" s="14"/>
    </row>
    <row r="63" spans="1:152">
      <c r="A63" s="1" t="s">
        <v>7</v>
      </c>
      <c r="B63" s="1" t="s">
        <v>33</v>
      </c>
      <c r="C63" s="36">
        <v>2</v>
      </c>
      <c r="D63" s="1" t="s">
        <v>30</v>
      </c>
      <c r="E63" s="1" t="s">
        <v>4</v>
      </c>
      <c r="F63" s="2" t="s">
        <v>3</v>
      </c>
      <c r="G63" s="132">
        <v>35.56</v>
      </c>
      <c r="H63" s="132">
        <v>4.47</v>
      </c>
      <c r="I63" s="132">
        <v>6.07</v>
      </c>
      <c r="J63" s="132">
        <v>12.38</v>
      </c>
      <c r="K63" s="132">
        <v>0.22</v>
      </c>
      <c r="L63" s="132">
        <v>13.09</v>
      </c>
      <c r="M63" s="132">
        <v>15.63</v>
      </c>
      <c r="N63" s="132">
        <v>1.07</v>
      </c>
      <c r="O63" s="132">
        <v>4.1399999999999997</v>
      </c>
      <c r="P63" s="132">
        <v>1.1000000000000001</v>
      </c>
      <c r="Q63" s="132">
        <v>4.71</v>
      </c>
      <c r="R63" s="14"/>
      <c r="S63" s="15">
        <f t="shared" si="134"/>
        <v>98.439999999999984</v>
      </c>
      <c r="U63" s="86">
        <v>0.70482400000000001</v>
      </c>
      <c r="V63" s="86">
        <v>0.51251100000000005</v>
      </c>
      <c r="W63" s="84"/>
      <c r="X63" s="84"/>
      <c r="Y63" s="84"/>
      <c r="Z63" s="131"/>
      <c r="AA63" s="131"/>
      <c r="AB63" s="14"/>
      <c r="AC63" s="14"/>
      <c r="AD63" s="14"/>
      <c r="AF63" s="19">
        <f t="shared" si="149"/>
        <v>0.71132933267837495</v>
      </c>
      <c r="AG63" s="20">
        <f t="shared" si="150"/>
        <v>26797.649999999998</v>
      </c>
      <c r="AH63" s="20">
        <f t="shared" si="135"/>
        <v>34370.28</v>
      </c>
      <c r="AI63" s="20">
        <f t="shared" si="151"/>
        <v>4800.4000000000005</v>
      </c>
      <c r="AJ63" s="19">
        <f t="shared" si="136"/>
        <v>5.21</v>
      </c>
      <c r="AK63" s="19">
        <f t="shared" si="152"/>
        <v>3.8691588785046722</v>
      </c>
      <c r="AL63" s="19">
        <f t="shared" si="153"/>
        <v>0.25845410628019327</v>
      </c>
      <c r="AM63" s="19">
        <f t="shared" si="154"/>
        <v>2.5749588138385504</v>
      </c>
      <c r="AN63" s="19">
        <f t="shared" si="155"/>
        <v>0.68204283360790763</v>
      </c>
      <c r="AO63" s="19">
        <f t="shared" si="156"/>
        <v>1.0282116392955862</v>
      </c>
      <c r="AP63" s="19">
        <f t="shared" si="157"/>
        <v>0.97256241981960678</v>
      </c>
      <c r="AQ63" s="19">
        <f t="shared" si="158"/>
        <v>0.17513785190463149</v>
      </c>
      <c r="AR63" s="19">
        <f t="shared" si="159"/>
        <v>1.0282116392955862</v>
      </c>
      <c r="AS63" s="118">
        <f t="shared" si="160"/>
        <v>804.27693464184279</v>
      </c>
      <c r="AT63" s="118">
        <f t="shared" si="161"/>
        <v>2604.2334525130373</v>
      </c>
      <c r="AU63" s="14">
        <f t="shared" si="162"/>
        <v>0.11642294713160853</v>
      </c>
      <c r="AV63" s="14">
        <f t="shared" si="163"/>
        <v>0.73822810312804943</v>
      </c>
      <c r="AX63" s="118"/>
      <c r="AY63" s="118"/>
      <c r="AZ63" s="133">
        <v>2002</v>
      </c>
      <c r="BA63" s="134">
        <v>0.5</v>
      </c>
      <c r="BB63" s="133">
        <v>15</v>
      </c>
      <c r="BC63" s="133">
        <v>198</v>
      </c>
      <c r="BD63" s="133">
        <v>574</v>
      </c>
      <c r="BE63" s="133">
        <v>55</v>
      </c>
      <c r="BF63" s="133">
        <v>258</v>
      </c>
      <c r="BG63" s="133">
        <v>143</v>
      </c>
      <c r="BH63" s="133">
        <v>119</v>
      </c>
      <c r="BI63" s="133">
        <v>19</v>
      </c>
      <c r="BJ63" s="133">
        <v>352</v>
      </c>
      <c r="BK63" s="133">
        <v>296</v>
      </c>
      <c r="BL63" s="134"/>
      <c r="BM63" s="134">
        <v>15</v>
      </c>
      <c r="BN63" s="134">
        <v>234</v>
      </c>
      <c r="BO63" s="134">
        <v>406</v>
      </c>
      <c r="BP63" s="134">
        <v>52</v>
      </c>
      <c r="BQ63" s="117"/>
      <c r="BR63" s="14"/>
      <c r="BS63" s="135">
        <v>5.6</v>
      </c>
      <c r="BT63" s="134">
        <v>12</v>
      </c>
      <c r="BU63" s="135">
        <v>1.22</v>
      </c>
      <c r="BV63" s="135">
        <v>4.9000000000000004</v>
      </c>
      <c r="BW63" s="135">
        <v>0.72</v>
      </c>
      <c r="BX63" s="135">
        <v>1.51</v>
      </c>
      <c r="BY63" s="135">
        <v>0.2</v>
      </c>
      <c r="BZ63" s="135">
        <v>1.1599999999999999</v>
      </c>
      <c r="CA63" s="14"/>
      <c r="CB63" s="134">
        <v>9.4</v>
      </c>
      <c r="CC63" s="134">
        <v>21</v>
      </c>
      <c r="CD63" s="133">
        <v>7.5</v>
      </c>
      <c r="CE63" s="133">
        <v>13</v>
      </c>
      <c r="CG63" s="22">
        <f t="shared" si="164"/>
        <v>966.94214876033061</v>
      </c>
      <c r="CH63" s="22">
        <f t="shared" si="165"/>
        <v>639.37007874015751</v>
      </c>
      <c r="CI63" s="22">
        <f t="shared" si="166"/>
        <v>539.97923156801664</v>
      </c>
      <c r="CJ63" s="22"/>
      <c r="CK63" s="22"/>
      <c r="CL63" s="22">
        <f t="shared" si="167"/>
        <v>94.754653130287636</v>
      </c>
      <c r="CM63" s="22">
        <f t="shared" si="168"/>
        <v>56.60377358490566</v>
      </c>
      <c r="CN63" s="22">
        <f t="shared" si="169"/>
        <v>32.446808510638299</v>
      </c>
      <c r="CO63" s="22">
        <f t="shared" si="170"/>
        <v>18.918918918918919</v>
      </c>
      <c r="CP63" s="22">
        <f t="shared" si="171"/>
        <v>12.307692307692307</v>
      </c>
      <c r="CQ63" s="22">
        <f t="shared" si="172"/>
        <v>9.263803680981594</v>
      </c>
      <c r="CR63" s="22">
        <f t="shared" si="173"/>
        <v>7.8125</v>
      </c>
      <c r="CS63" s="22">
        <f t="shared" si="174"/>
        <v>6.9879518072289146</v>
      </c>
      <c r="CT63" s="22"/>
      <c r="CU63" s="22">
        <f t="shared" si="175"/>
        <v>6.7635135135135132</v>
      </c>
      <c r="CV63" s="117">
        <f t="shared" si="176"/>
        <v>8.5555555555555554</v>
      </c>
      <c r="CW63" s="22">
        <f t="shared" si="138"/>
        <v>0.79054054054054057</v>
      </c>
      <c r="CX63" s="20">
        <f t="shared" si="177"/>
        <v>90.532601351351346</v>
      </c>
      <c r="CY63" s="22">
        <f t="shared" si="178"/>
        <v>43.191489361702125</v>
      </c>
      <c r="CZ63" s="22">
        <f t="shared" si="179"/>
        <v>39.466666666666669</v>
      </c>
      <c r="DA63" s="22"/>
      <c r="DB63" s="22">
        <f t="shared" si="139"/>
        <v>1.1891891891891893</v>
      </c>
      <c r="DC63" s="22">
        <f t="shared" si="180"/>
        <v>95.333333333333329</v>
      </c>
      <c r="DD63" s="22">
        <f t="shared" si="140"/>
        <v>1.4</v>
      </c>
      <c r="DE63" s="22">
        <f t="shared" si="141"/>
        <v>12.931034482758621</v>
      </c>
      <c r="DF63" s="22">
        <f t="shared" si="142"/>
        <v>18.103448275862071</v>
      </c>
      <c r="DG63" s="19">
        <f t="shared" si="181"/>
        <v>15.578947368421053</v>
      </c>
      <c r="DH63" s="20">
        <f t="shared" si="143"/>
        <v>146.88153846153847</v>
      </c>
      <c r="DI63" s="19">
        <f t="shared" si="182"/>
        <v>2.2834497338699071</v>
      </c>
      <c r="DJ63" s="22"/>
      <c r="DK63" s="22"/>
      <c r="DL63" s="22"/>
      <c r="DM63" s="22">
        <f t="shared" si="144"/>
        <v>201.72413793103451</v>
      </c>
      <c r="DN63" s="22"/>
      <c r="DO63" s="22"/>
      <c r="DP63" s="20"/>
      <c r="DQ63" s="22"/>
      <c r="DR63" s="22"/>
      <c r="DS63" s="19"/>
      <c r="DT63" s="23"/>
      <c r="DU63" s="22">
        <f t="shared" si="183"/>
        <v>18.526315789473685</v>
      </c>
      <c r="DV63" s="22">
        <f t="shared" si="145"/>
        <v>19.733333333333334</v>
      </c>
      <c r="DW63" s="22">
        <f t="shared" si="184"/>
        <v>0.49838311005752978</v>
      </c>
      <c r="DX63" s="22">
        <f t="shared" si="146"/>
        <v>84.090909090909093</v>
      </c>
      <c r="DY63" s="22">
        <f t="shared" si="147"/>
        <v>5.9659090909090908</v>
      </c>
      <c r="DZ63" s="19"/>
      <c r="EA63" s="23">
        <f t="shared" si="185"/>
        <v>2.136752136752137E-3</v>
      </c>
      <c r="EB63" s="19">
        <f t="shared" si="148"/>
        <v>7.0945945945945943E-2</v>
      </c>
      <c r="EC63" s="19">
        <f t="shared" si="186"/>
        <v>0.11109657726096192</v>
      </c>
      <c r="EE63" s="19">
        <f t="shared" si="187"/>
        <v>37.938760268857358</v>
      </c>
      <c r="EF63" s="19">
        <f t="shared" si="188"/>
        <v>4.7690173903766144</v>
      </c>
      <c r="EG63" s="19">
        <f t="shared" si="189"/>
        <v>6.4760482236210395</v>
      </c>
      <c r="EH63" s="19">
        <f t="shared" si="190"/>
        <v>13.208151072228743</v>
      </c>
      <c r="EI63" s="19">
        <f t="shared" si="191"/>
        <v>0.23471673957110853</v>
      </c>
      <c r="EJ63" s="19">
        <f t="shared" si="192"/>
        <v>13.965646004480957</v>
      </c>
      <c r="EK63" s="19">
        <f t="shared" si="193"/>
        <v>16.675557452256484</v>
      </c>
      <c r="EL63" s="19">
        <f t="shared" si="194"/>
        <v>1.1415768697322097</v>
      </c>
      <c r="EM63" s="19">
        <f t="shared" si="195"/>
        <v>4.416942281019951</v>
      </c>
      <c r="EN63" s="19">
        <f t="shared" si="196"/>
        <v>1.1735836978555427</v>
      </c>
      <c r="EO63" s="19">
        <f t="shared" si="197"/>
        <v>100.00000000000001</v>
      </c>
      <c r="EP63" s="14"/>
      <c r="EU63" s="36"/>
      <c r="EV63" s="36"/>
    </row>
    <row r="64" spans="1:152">
      <c r="A64" s="1" t="s">
        <v>7</v>
      </c>
      <c r="B64" s="1" t="s">
        <v>33</v>
      </c>
      <c r="C64" s="36">
        <v>2</v>
      </c>
      <c r="D64" s="1" t="s">
        <v>30</v>
      </c>
      <c r="E64" s="1" t="s">
        <v>4</v>
      </c>
      <c r="F64" s="2" t="s">
        <v>3</v>
      </c>
      <c r="G64" s="132">
        <v>40.9</v>
      </c>
      <c r="H64" s="132">
        <v>4</v>
      </c>
      <c r="I64" s="132">
        <v>7.96</v>
      </c>
      <c r="J64" s="132">
        <v>9.2899999999999991</v>
      </c>
      <c r="K64" s="132">
        <v>0.14000000000000001</v>
      </c>
      <c r="L64" s="132">
        <v>9.34</v>
      </c>
      <c r="M64" s="132">
        <v>8.43</v>
      </c>
      <c r="N64" s="132">
        <v>0.85</v>
      </c>
      <c r="O64" s="132">
        <v>3.49</v>
      </c>
      <c r="P64" s="132">
        <v>0.96</v>
      </c>
      <c r="Q64" s="132">
        <v>13.38</v>
      </c>
      <c r="R64" s="14"/>
      <c r="S64" s="15">
        <f t="shared" si="134"/>
        <v>98.739999999999981</v>
      </c>
      <c r="U64" s="86">
        <v>0.70537399999999995</v>
      </c>
      <c r="V64" s="86">
        <v>0.51239699999999999</v>
      </c>
      <c r="W64" s="84"/>
      <c r="X64" s="84"/>
      <c r="Y64" s="84"/>
      <c r="Z64" s="131"/>
      <c r="AA64" s="131"/>
      <c r="AB64" s="14"/>
      <c r="AC64" s="14"/>
      <c r="AD64" s="14"/>
      <c r="AF64" s="19">
        <f t="shared" si="149"/>
        <v>0.70087131407429537</v>
      </c>
      <c r="AG64" s="20">
        <f t="shared" si="150"/>
        <v>23980</v>
      </c>
      <c r="AH64" s="20">
        <f t="shared" si="135"/>
        <v>28973.980000000003</v>
      </c>
      <c r="AI64" s="20">
        <f t="shared" si="151"/>
        <v>4189.4399999999996</v>
      </c>
      <c r="AJ64" s="19">
        <f t="shared" si="136"/>
        <v>4.34</v>
      </c>
      <c r="AK64" s="19">
        <f t="shared" si="152"/>
        <v>4.105882352941177</v>
      </c>
      <c r="AL64" s="19">
        <f t="shared" si="153"/>
        <v>0.24355300859598852</v>
      </c>
      <c r="AM64" s="19">
        <f t="shared" si="154"/>
        <v>1.0590452261306533</v>
      </c>
      <c r="AN64" s="19">
        <f t="shared" si="155"/>
        <v>0.43844221105527642</v>
      </c>
      <c r="AO64" s="19">
        <f t="shared" si="156"/>
        <v>0.65022471222647127</v>
      </c>
      <c r="AP64" s="19">
        <f t="shared" si="157"/>
        <v>1.5379298590111152</v>
      </c>
      <c r="AQ64" s="19">
        <f t="shared" si="158"/>
        <v>0.38824505539293697</v>
      </c>
      <c r="AR64" s="19">
        <f t="shared" si="159"/>
        <v>0.65022471222647127</v>
      </c>
      <c r="AS64" s="118">
        <f t="shared" si="160"/>
        <v>1628.0906976693775</v>
      </c>
      <c r="AT64" s="118">
        <f t="shared" si="161"/>
        <v>1782.5551266056209</v>
      </c>
      <c r="AU64" s="14">
        <f t="shared" si="162"/>
        <v>8.5330073349633259E-2</v>
      </c>
      <c r="AV64" s="14">
        <f t="shared" si="163"/>
        <v>0.474560168144331</v>
      </c>
      <c r="AX64" s="118"/>
      <c r="AY64" s="118"/>
      <c r="AZ64" s="133">
        <v>1948</v>
      </c>
      <c r="BA64" s="134">
        <v>1.27</v>
      </c>
      <c r="BB64" s="133">
        <v>17</v>
      </c>
      <c r="BC64" s="133">
        <v>102</v>
      </c>
      <c r="BD64" s="133">
        <v>704</v>
      </c>
      <c r="BE64" s="133">
        <v>39</v>
      </c>
      <c r="BF64" s="133">
        <v>172</v>
      </c>
      <c r="BG64" s="133">
        <v>102</v>
      </c>
      <c r="BH64" s="133">
        <v>90</v>
      </c>
      <c r="BI64" s="133">
        <v>16</v>
      </c>
      <c r="BJ64" s="133">
        <v>307</v>
      </c>
      <c r="BK64" s="133">
        <v>184</v>
      </c>
      <c r="BL64" s="134"/>
      <c r="BM64" s="134">
        <v>10</v>
      </c>
      <c r="BN64" s="134">
        <v>149</v>
      </c>
      <c r="BO64" s="134">
        <v>252</v>
      </c>
      <c r="BP64" s="134">
        <v>33</v>
      </c>
      <c r="BQ64" s="117"/>
      <c r="BR64" s="14"/>
      <c r="BS64" s="135">
        <v>3.8</v>
      </c>
      <c r="BT64" s="134">
        <v>8.6</v>
      </c>
      <c r="BU64" s="135">
        <v>0.9</v>
      </c>
      <c r="BV64" s="135">
        <v>3.7</v>
      </c>
      <c r="BW64" s="135">
        <v>0.56000000000000005</v>
      </c>
      <c r="BX64" s="135">
        <v>1.22</v>
      </c>
      <c r="BY64" s="135">
        <v>0.16</v>
      </c>
      <c r="BZ64" s="135">
        <v>0.98</v>
      </c>
      <c r="CA64" s="14"/>
      <c r="CB64" s="134">
        <v>12</v>
      </c>
      <c r="CC64" s="134">
        <v>20</v>
      </c>
      <c r="CD64" s="133">
        <v>3.7</v>
      </c>
      <c r="CE64" s="133">
        <v>13</v>
      </c>
      <c r="CG64" s="22">
        <f t="shared" si="164"/>
        <v>615.70247933884298</v>
      </c>
      <c r="CH64" s="22">
        <f t="shared" si="165"/>
        <v>396.85039370078738</v>
      </c>
      <c r="CI64" s="22">
        <f t="shared" si="166"/>
        <v>342.67912772585669</v>
      </c>
      <c r="CJ64" s="22"/>
      <c r="CK64" s="22"/>
      <c r="CL64" s="22">
        <f t="shared" si="167"/>
        <v>64.297800338409473</v>
      </c>
      <c r="CM64" s="22">
        <f t="shared" si="168"/>
        <v>40.566037735849058</v>
      </c>
      <c r="CN64" s="22">
        <f t="shared" si="169"/>
        <v>23.936170212765958</v>
      </c>
      <c r="CO64" s="22">
        <f t="shared" si="170"/>
        <v>14.285714285714286</v>
      </c>
      <c r="CP64" s="22">
        <f t="shared" si="171"/>
        <v>9.5726495726495724</v>
      </c>
      <c r="CQ64" s="22">
        <f t="shared" si="172"/>
        <v>7.484662576687116</v>
      </c>
      <c r="CR64" s="22">
        <f t="shared" si="173"/>
        <v>6.25</v>
      </c>
      <c r="CS64" s="22">
        <f t="shared" si="174"/>
        <v>5.903614457831325</v>
      </c>
      <c r="CT64" s="22"/>
      <c r="CU64" s="22">
        <f t="shared" si="175"/>
        <v>10.586956521739131</v>
      </c>
      <c r="CV64" s="117">
        <f t="shared" si="176"/>
        <v>13.073825503355705</v>
      </c>
      <c r="CW64" s="22">
        <f t="shared" si="138"/>
        <v>0.80978260869565222</v>
      </c>
      <c r="CX64" s="20">
        <f t="shared" si="177"/>
        <v>130.32608695652175</v>
      </c>
      <c r="CY64" s="22">
        <f t="shared" si="178"/>
        <v>21</v>
      </c>
      <c r="CZ64" s="22">
        <f t="shared" si="179"/>
        <v>49.729729729729726</v>
      </c>
      <c r="DA64" s="22"/>
      <c r="DB64" s="22">
        <f t="shared" si="139"/>
        <v>1.6684782608695652</v>
      </c>
      <c r="DC64" s="22">
        <f t="shared" si="180"/>
        <v>97.4</v>
      </c>
      <c r="DD64" s="22">
        <f t="shared" si="140"/>
        <v>2</v>
      </c>
      <c r="DE64" s="22">
        <f t="shared" si="141"/>
        <v>10.204081632653061</v>
      </c>
      <c r="DF64" s="22">
        <f t="shared" si="142"/>
        <v>20.408163265306122</v>
      </c>
      <c r="DG64" s="19">
        <f t="shared" si="181"/>
        <v>11.5</v>
      </c>
      <c r="DH64" s="20">
        <f t="shared" si="143"/>
        <v>194.45624161073829</v>
      </c>
      <c r="DI64" s="19">
        <f t="shared" si="182"/>
        <v>2.2010747640496948</v>
      </c>
      <c r="DJ64" s="22"/>
      <c r="DK64" s="22"/>
      <c r="DL64" s="22"/>
      <c r="DM64" s="22">
        <f t="shared" si="144"/>
        <v>152.0408163265306</v>
      </c>
      <c r="DN64" s="22"/>
      <c r="DO64" s="22"/>
      <c r="DP64" s="20"/>
      <c r="DQ64" s="22"/>
      <c r="DR64" s="22"/>
      <c r="DS64" s="19"/>
      <c r="DT64" s="23"/>
      <c r="DU64" s="22">
        <f t="shared" si="183"/>
        <v>19.1875</v>
      </c>
      <c r="DV64" s="22">
        <f t="shared" si="145"/>
        <v>18.399999999999999</v>
      </c>
      <c r="DW64" s="22">
        <f t="shared" si="184"/>
        <v>0.33730252613678902</v>
      </c>
      <c r="DX64" s="22">
        <f t="shared" si="146"/>
        <v>59.934853420195438</v>
      </c>
      <c r="DY64" s="22">
        <f t="shared" si="147"/>
        <v>6.5146579804560263</v>
      </c>
      <c r="DZ64" s="19"/>
      <c r="EA64" s="23">
        <f t="shared" si="185"/>
        <v>8.5234899328859061E-3</v>
      </c>
      <c r="EB64" s="19">
        <f t="shared" si="148"/>
        <v>0.10869565217391304</v>
      </c>
      <c r="EC64" s="19">
        <f t="shared" si="186"/>
        <v>0.22597558524642689</v>
      </c>
      <c r="EE64" s="19">
        <f t="shared" si="187"/>
        <v>47.91471415182756</v>
      </c>
      <c r="EF64" s="19">
        <f t="shared" si="188"/>
        <v>4.6860356138706658</v>
      </c>
      <c r="EG64" s="19">
        <f t="shared" si="189"/>
        <v>9.325210871602625</v>
      </c>
      <c r="EH64" s="19">
        <f t="shared" si="190"/>
        <v>10.883317713214621</v>
      </c>
      <c r="EI64" s="19">
        <f t="shared" si="191"/>
        <v>0.16401124648547333</v>
      </c>
      <c r="EJ64" s="19">
        <f t="shared" si="192"/>
        <v>10.941893158388005</v>
      </c>
      <c r="EK64" s="19">
        <f t="shared" si="193"/>
        <v>9.8758200562324294</v>
      </c>
      <c r="EL64" s="19">
        <f t="shared" si="194"/>
        <v>0.99578256794751663</v>
      </c>
      <c r="EM64" s="19">
        <f t="shared" si="195"/>
        <v>4.0885660731021565</v>
      </c>
      <c r="EN64" s="19">
        <f t="shared" si="196"/>
        <v>1.1246485473289598</v>
      </c>
      <c r="EO64" s="19">
        <f t="shared" si="197"/>
        <v>100</v>
      </c>
      <c r="EP64" s="14"/>
      <c r="EV64" s="36"/>
    </row>
    <row r="65" spans="1:152">
      <c r="A65" s="1" t="s">
        <v>7</v>
      </c>
      <c r="B65" s="1" t="s">
        <v>33</v>
      </c>
      <c r="C65" s="1">
        <v>2</v>
      </c>
      <c r="D65" s="1" t="s">
        <v>30</v>
      </c>
      <c r="E65" s="1" t="s">
        <v>4</v>
      </c>
      <c r="F65" s="2" t="s">
        <v>3</v>
      </c>
      <c r="G65" s="132">
        <v>40.049999999999997</v>
      </c>
      <c r="H65" s="132">
        <v>4.68</v>
      </c>
      <c r="I65" s="132">
        <v>6.88</v>
      </c>
      <c r="J65" s="132">
        <v>10.26</v>
      </c>
      <c r="K65" s="132">
        <v>0.17</v>
      </c>
      <c r="L65" s="132">
        <v>14.78</v>
      </c>
      <c r="M65" s="132">
        <v>9.8000000000000007</v>
      </c>
      <c r="N65" s="132">
        <v>0.81</v>
      </c>
      <c r="O65" s="132">
        <v>5.98</v>
      </c>
      <c r="P65" s="132">
        <v>0.57999999999999996</v>
      </c>
      <c r="Q65" s="132">
        <v>4.51</v>
      </c>
      <c r="R65" s="14"/>
      <c r="S65" s="15">
        <f t="shared" si="134"/>
        <v>98.5</v>
      </c>
      <c r="U65" s="86">
        <v>0.70521999999999996</v>
      </c>
      <c r="V65" s="86">
        <v>0.51250700000000005</v>
      </c>
      <c r="W65" s="84"/>
      <c r="X65" s="84"/>
      <c r="Y65" s="84"/>
      <c r="Z65" s="131"/>
      <c r="AA65" s="131"/>
      <c r="AB65" s="14"/>
      <c r="AC65" s="14"/>
      <c r="AD65" s="14"/>
      <c r="AF65" s="19">
        <f t="shared" si="149"/>
        <v>0.77049437287289968</v>
      </c>
      <c r="AG65" s="20">
        <f t="shared" si="150"/>
        <v>28056.6</v>
      </c>
      <c r="AH65" s="20">
        <f t="shared" si="135"/>
        <v>49645.960000000006</v>
      </c>
      <c r="AI65" s="20">
        <f t="shared" si="151"/>
        <v>2531.12</v>
      </c>
      <c r="AJ65" s="19">
        <f t="shared" si="136"/>
        <v>6.7900000000000009</v>
      </c>
      <c r="AK65" s="19">
        <f t="shared" si="152"/>
        <v>7.382716049382716</v>
      </c>
      <c r="AL65" s="19">
        <f t="shared" si="153"/>
        <v>0.1354515050167224</v>
      </c>
      <c r="AM65" s="19">
        <f t="shared" si="154"/>
        <v>1.4244186046511629</v>
      </c>
      <c r="AN65" s="19">
        <f t="shared" si="155"/>
        <v>0.86918604651162801</v>
      </c>
      <c r="AO65" s="19">
        <f t="shared" si="156"/>
        <v>1.1344633512877205</v>
      </c>
      <c r="AP65" s="19">
        <f t="shared" si="157"/>
        <v>0.88147404573705079</v>
      </c>
      <c r="AQ65" s="19">
        <f t="shared" si="158"/>
        <v>0.26851238521748549</v>
      </c>
      <c r="AR65" s="19">
        <f t="shared" si="159"/>
        <v>1.1344633512877205</v>
      </c>
      <c r="AS65" s="118">
        <f t="shared" si="160"/>
        <v>783.74323445616619</v>
      </c>
      <c r="AT65" s="118">
        <f t="shared" si="161"/>
        <v>2039.5316346141472</v>
      </c>
      <c r="AU65" s="14">
        <f t="shared" si="162"/>
        <v>0.14931335830212236</v>
      </c>
      <c r="AV65" s="14">
        <f t="shared" si="163"/>
        <v>0.94078778452574918</v>
      </c>
      <c r="AX65" s="118"/>
      <c r="AY65" s="118"/>
      <c r="AZ65" s="133">
        <v>1583</v>
      </c>
      <c r="BA65" s="134">
        <v>0.94</v>
      </c>
      <c r="BB65" s="133">
        <v>10</v>
      </c>
      <c r="BC65" s="133">
        <v>95</v>
      </c>
      <c r="BD65" s="133">
        <v>823</v>
      </c>
      <c r="BE65" s="133">
        <v>60</v>
      </c>
      <c r="BF65" s="133">
        <v>471</v>
      </c>
      <c r="BG65" s="133">
        <v>97</v>
      </c>
      <c r="BH65" s="133">
        <v>104</v>
      </c>
      <c r="BI65" s="133">
        <v>13</v>
      </c>
      <c r="BJ65" s="133">
        <v>281</v>
      </c>
      <c r="BK65" s="133">
        <v>190</v>
      </c>
      <c r="BL65" s="134"/>
      <c r="BM65" s="134">
        <v>11</v>
      </c>
      <c r="BN65" s="134">
        <v>151</v>
      </c>
      <c r="BO65" s="134">
        <v>252</v>
      </c>
      <c r="BP65" s="134">
        <v>32</v>
      </c>
      <c r="BQ65" s="117"/>
      <c r="BR65" s="14"/>
      <c r="BS65" s="135">
        <v>3.7</v>
      </c>
      <c r="BT65" s="134">
        <v>8.4</v>
      </c>
      <c r="BU65" s="135">
        <v>0.87</v>
      </c>
      <c r="BV65" s="135">
        <v>3.5</v>
      </c>
      <c r="BW65" s="135">
        <v>0.52</v>
      </c>
      <c r="BX65" s="135">
        <v>1.1000000000000001</v>
      </c>
      <c r="BY65" s="135">
        <v>0.14000000000000001</v>
      </c>
      <c r="BZ65" s="135">
        <v>0.81</v>
      </c>
      <c r="CA65" s="14"/>
      <c r="CB65" s="134">
        <v>6.9</v>
      </c>
      <c r="CC65" s="134">
        <v>12</v>
      </c>
      <c r="CD65" s="133">
        <v>3.9</v>
      </c>
      <c r="CE65" s="133">
        <v>12</v>
      </c>
      <c r="CG65" s="22">
        <f t="shared" si="164"/>
        <v>623.96694214876038</v>
      </c>
      <c r="CH65" s="22">
        <f t="shared" si="165"/>
        <v>396.85039370078738</v>
      </c>
      <c r="CI65" s="22">
        <f t="shared" si="166"/>
        <v>332.29491173416409</v>
      </c>
      <c r="CJ65" s="22"/>
      <c r="CK65" s="22"/>
      <c r="CL65" s="22">
        <f t="shared" si="167"/>
        <v>62.605752961082914</v>
      </c>
      <c r="CM65" s="22">
        <f t="shared" si="168"/>
        <v>39.622641509433969</v>
      </c>
      <c r="CN65" s="22">
        <f t="shared" si="169"/>
        <v>23.138297872340424</v>
      </c>
      <c r="CO65" s="22">
        <f t="shared" si="170"/>
        <v>13.513513513513512</v>
      </c>
      <c r="CP65" s="22">
        <f t="shared" si="171"/>
        <v>8.8888888888888893</v>
      </c>
      <c r="CQ65" s="22">
        <f t="shared" si="172"/>
        <v>6.7484662576687118</v>
      </c>
      <c r="CR65" s="22">
        <f t="shared" si="173"/>
        <v>5.46875</v>
      </c>
      <c r="CS65" s="22">
        <f t="shared" si="174"/>
        <v>4.8795180722891569</v>
      </c>
      <c r="CT65" s="22"/>
      <c r="CU65" s="22">
        <f t="shared" si="175"/>
        <v>8.3315789473684205</v>
      </c>
      <c r="CV65" s="117">
        <f t="shared" si="176"/>
        <v>10.483443708609272</v>
      </c>
      <c r="CW65" s="22">
        <f t="shared" si="138"/>
        <v>0.79473684210526319</v>
      </c>
      <c r="CX65" s="20">
        <f t="shared" si="177"/>
        <v>147.66631578947369</v>
      </c>
      <c r="CY65" s="22">
        <f t="shared" si="178"/>
        <v>36.521739130434781</v>
      </c>
      <c r="CZ65" s="22">
        <f t="shared" si="179"/>
        <v>48.717948717948723</v>
      </c>
      <c r="DA65" s="22"/>
      <c r="DB65" s="22">
        <f t="shared" si="139"/>
        <v>1.4789473684210526</v>
      </c>
      <c r="DC65" s="22">
        <f t="shared" si="180"/>
        <v>131.91666666666666</v>
      </c>
      <c r="DD65" s="22">
        <f t="shared" si="140"/>
        <v>1.0909090909090908</v>
      </c>
      <c r="DE65" s="22">
        <f t="shared" si="141"/>
        <v>13.580246913580247</v>
      </c>
      <c r="DF65" s="22">
        <f t="shared" si="142"/>
        <v>14.814814814814813</v>
      </c>
      <c r="DG65" s="19">
        <f t="shared" si="181"/>
        <v>14.615384615384615</v>
      </c>
      <c r="DH65" s="20">
        <f t="shared" si="143"/>
        <v>328.7811920529802</v>
      </c>
      <c r="DI65" s="19">
        <f t="shared" si="182"/>
        <v>1.6912244650543753</v>
      </c>
      <c r="DJ65" s="22"/>
      <c r="DK65" s="22"/>
      <c r="DL65" s="22"/>
      <c r="DM65" s="22">
        <f t="shared" si="144"/>
        <v>186.41975308641975</v>
      </c>
      <c r="DN65" s="22"/>
      <c r="DO65" s="22"/>
      <c r="DP65" s="20"/>
      <c r="DQ65" s="22"/>
      <c r="DR65" s="22"/>
      <c r="DS65" s="19"/>
      <c r="DT65" s="23"/>
      <c r="DU65" s="22">
        <f t="shared" si="183"/>
        <v>21.615384615384617</v>
      </c>
      <c r="DV65" s="22">
        <f t="shared" si="145"/>
        <v>17.272727272727273</v>
      </c>
      <c r="DW65" s="22">
        <f t="shared" si="184"/>
        <v>0.34206535085736567</v>
      </c>
      <c r="DX65" s="22">
        <f t="shared" si="146"/>
        <v>67.615658362989322</v>
      </c>
      <c r="DY65" s="22">
        <f t="shared" si="147"/>
        <v>4.2704626334519569</v>
      </c>
      <c r="DZ65" s="19"/>
      <c r="EA65" s="23">
        <f t="shared" si="185"/>
        <v>6.2251655629139068E-3</v>
      </c>
      <c r="EB65" s="19">
        <f t="shared" si="148"/>
        <v>6.3157894736842107E-2</v>
      </c>
      <c r="EC65" s="19">
        <f t="shared" si="186"/>
        <v>0.13195059268811676</v>
      </c>
      <c r="EE65" s="19">
        <f t="shared" si="187"/>
        <v>42.610916054899455</v>
      </c>
      <c r="EF65" s="19">
        <f t="shared" si="188"/>
        <v>4.9792531120331951</v>
      </c>
      <c r="EG65" s="19">
        <f t="shared" si="189"/>
        <v>7.31992765187786</v>
      </c>
      <c r="EH65" s="19">
        <f t="shared" si="190"/>
        <v>10.916054899457389</v>
      </c>
      <c r="EI65" s="19">
        <f t="shared" si="191"/>
        <v>0.18087030535163318</v>
      </c>
      <c r="EJ65" s="19">
        <f t="shared" si="192"/>
        <v>15.725077135865519</v>
      </c>
      <c r="EK65" s="19">
        <f t="shared" si="193"/>
        <v>10.426641132035325</v>
      </c>
      <c r="EL65" s="19">
        <f t="shared" si="194"/>
        <v>0.86179380785189919</v>
      </c>
      <c r="EM65" s="19">
        <f t="shared" si="195"/>
        <v>6.3623789764868608</v>
      </c>
      <c r="EN65" s="19">
        <f t="shared" si="196"/>
        <v>0.61708692414086597</v>
      </c>
      <c r="EO65" s="19">
        <f t="shared" si="197"/>
        <v>100.00000000000001</v>
      </c>
      <c r="EP65" s="14"/>
      <c r="EU65" s="36"/>
    </row>
    <row r="66" spans="1:152">
      <c r="A66" s="1" t="s">
        <v>7</v>
      </c>
      <c r="B66" s="1" t="s">
        <v>33</v>
      </c>
      <c r="C66" s="36">
        <v>2</v>
      </c>
      <c r="D66" s="1" t="s">
        <v>30</v>
      </c>
      <c r="E66" s="1" t="s">
        <v>4</v>
      </c>
      <c r="F66" s="2" t="s">
        <v>3</v>
      </c>
      <c r="G66" s="132">
        <v>31.8</v>
      </c>
      <c r="H66" s="132">
        <v>3.75</v>
      </c>
      <c r="I66" s="132">
        <v>5.62</v>
      </c>
      <c r="J66" s="132">
        <v>11.71</v>
      </c>
      <c r="K66" s="132">
        <v>0.22</v>
      </c>
      <c r="L66" s="132">
        <v>11.9</v>
      </c>
      <c r="M66" s="132">
        <v>13.28</v>
      </c>
      <c r="N66" s="132">
        <v>0.32</v>
      </c>
      <c r="O66" s="132">
        <v>2.4300000000000002</v>
      </c>
      <c r="P66" s="132">
        <v>1.29</v>
      </c>
      <c r="Q66" s="132">
        <v>16.38</v>
      </c>
      <c r="R66" s="14"/>
      <c r="S66" s="15">
        <f t="shared" si="134"/>
        <v>98.7</v>
      </c>
      <c r="U66" s="86">
        <v>0.70470500000000003</v>
      </c>
      <c r="V66" s="86">
        <v>0.51249900000000004</v>
      </c>
      <c r="W66" s="84"/>
      <c r="X66" s="84"/>
      <c r="Y66" s="84"/>
      <c r="Z66" s="131"/>
      <c r="AA66" s="131"/>
      <c r="AB66" s="14"/>
      <c r="AC66" s="14"/>
      <c r="AD66" s="14"/>
      <c r="AF66" s="19">
        <f t="shared" si="149"/>
        <v>0.70311548957598269</v>
      </c>
      <c r="AG66" s="20">
        <f t="shared" si="150"/>
        <v>22481.25</v>
      </c>
      <c r="AH66" s="20">
        <f t="shared" si="135"/>
        <v>20173.86</v>
      </c>
      <c r="AI66" s="20">
        <f t="shared" si="151"/>
        <v>5629.56</v>
      </c>
      <c r="AJ66" s="19">
        <f t="shared" si="136"/>
        <v>2.75</v>
      </c>
      <c r="AK66" s="19">
        <f t="shared" si="152"/>
        <v>7.59375</v>
      </c>
      <c r="AL66" s="19">
        <f t="shared" si="153"/>
        <v>0.13168724279835389</v>
      </c>
      <c r="AM66" s="19">
        <f t="shared" si="154"/>
        <v>2.3629893238434163</v>
      </c>
      <c r="AN66" s="19">
        <f t="shared" si="155"/>
        <v>0.43238434163701067</v>
      </c>
      <c r="AO66" s="19">
        <f t="shared" si="156"/>
        <v>0.56167140863360177</v>
      </c>
      <c r="AP66" s="19">
        <f t="shared" si="157"/>
        <v>1.780400398932066</v>
      </c>
      <c r="AQ66" s="19">
        <f t="shared" si="158"/>
        <v>0.20585185730362199</v>
      </c>
      <c r="AR66" s="19">
        <f t="shared" si="159"/>
        <v>0.56167140863360177</v>
      </c>
      <c r="AS66" s="118">
        <f t="shared" si="160"/>
        <v>1452.2769708332212</v>
      </c>
      <c r="AT66" s="118">
        <f t="shared" si="161"/>
        <v>2577.3049302475456</v>
      </c>
      <c r="AU66" s="14">
        <f t="shared" si="162"/>
        <v>7.6415094339622638E-2</v>
      </c>
      <c r="AV66" s="14">
        <f t="shared" si="163"/>
        <v>0.46800326404787268</v>
      </c>
      <c r="AX66" s="118"/>
      <c r="AY66" s="118"/>
      <c r="AZ66" s="133">
        <v>2238</v>
      </c>
      <c r="BA66" s="134">
        <v>0.23</v>
      </c>
      <c r="BB66" s="133">
        <v>12</v>
      </c>
      <c r="BC66" s="133">
        <v>150</v>
      </c>
      <c r="BD66" s="133">
        <v>64</v>
      </c>
      <c r="BE66" s="133">
        <v>44</v>
      </c>
      <c r="BF66" s="133">
        <v>68</v>
      </c>
      <c r="BG66" s="133">
        <v>166</v>
      </c>
      <c r="BH66" s="133">
        <v>125</v>
      </c>
      <c r="BI66" s="133">
        <v>22</v>
      </c>
      <c r="BJ66" s="133">
        <v>580</v>
      </c>
      <c r="BK66" s="133">
        <v>354</v>
      </c>
      <c r="BL66" s="134"/>
      <c r="BM66" s="134">
        <v>19</v>
      </c>
      <c r="BN66" s="134">
        <v>270</v>
      </c>
      <c r="BO66" s="134">
        <v>513</v>
      </c>
      <c r="BP66" s="134">
        <v>65</v>
      </c>
      <c r="BQ66" s="117"/>
      <c r="BR66" s="14"/>
      <c r="BS66" s="135">
        <v>6.8</v>
      </c>
      <c r="BT66" s="134">
        <v>14</v>
      </c>
      <c r="BU66" s="135">
        <v>1.41</v>
      </c>
      <c r="BV66" s="135">
        <v>5.7</v>
      </c>
      <c r="BW66" s="135">
        <v>0.82</v>
      </c>
      <c r="BX66" s="135">
        <v>1.74</v>
      </c>
      <c r="BY66" s="135">
        <v>0.23</v>
      </c>
      <c r="BZ66" s="135">
        <v>1.35</v>
      </c>
      <c r="CA66" s="135"/>
      <c r="CB66" s="134">
        <v>11</v>
      </c>
      <c r="CC66" s="134">
        <v>22</v>
      </c>
      <c r="CD66" s="133">
        <v>8</v>
      </c>
      <c r="CE66" s="133">
        <v>16</v>
      </c>
      <c r="CF66" s="136"/>
      <c r="CG66" s="22">
        <f t="shared" si="164"/>
        <v>1115.702479338843</v>
      </c>
      <c r="CH66" s="22">
        <f t="shared" si="165"/>
        <v>807.87401574803152</v>
      </c>
      <c r="CI66" s="22">
        <f t="shared" si="166"/>
        <v>674.97403946002078</v>
      </c>
      <c r="CJ66" s="22"/>
      <c r="CK66" s="22"/>
      <c r="CL66" s="22">
        <f t="shared" si="167"/>
        <v>115.05922165820643</v>
      </c>
      <c r="CM66" s="22">
        <f t="shared" si="168"/>
        <v>66.037735849056602</v>
      </c>
      <c r="CN66" s="22">
        <f t="shared" si="169"/>
        <v>37.499999999999993</v>
      </c>
      <c r="CO66" s="22">
        <f t="shared" si="170"/>
        <v>22.007722007722009</v>
      </c>
      <c r="CP66" s="22">
        <f t="shared" si="171"/>
        <v>14.017094017094015</v>
      </c>
      <c r="CQ66" s="22">
        <f t="shared" si="172"/>
        <v>10.67484662576687</v>
      </c>
      <c r="CR66" s="22">
        <f t="shared" si="173"/>
        <v>8.984375</v>
      </c>
      <c r="CS66" s="22">
        <f t="shared" si="174"/>
        <v>8.1325301204819276</v>
      </c>
      <c r="CT66" s="22"/>
      <c r="CU66" s="22">
        <f t="shared" si="175"/>
        <v>6.3220338983050848</v>
      </c>
      <c r="CV66" s="117">
        <f t="shared" si="176"/>
        <v>8.2888888888888896</v>
      </c>
      <c r="CW66" s="22">
        <f t="shared" si="138"/>
        <v>0.76271186440677963</v>
      </c>
      <c r="CX66" s="20">
        <f t="shared" si="177"/>
        <v>63.506355932203391</v>
      </c>
      <c r="CY66" s="22">
        <f t="shared" si="178"/>
        <v>46.636363636363633</v>
      </c>
      <c r="CZ66" s="22">
        <f t="shared" si="179"/>
        <v>44.25</v>
      </c>
      <c r="DA66" s="22"/>
      <c r="DB66" s="22">
        <f t="shared" si="139"/>
        <v>1.6384180790960452</v>
      </c>
      <c r="DC66" s="22">
        <f t="shared" si="180"/>
        <v>101.72727272727273</v>
      </c>
      <c r="DD66" s="22">
        <f t="shared" si="140"/>
        <v>1.1578947368421053</v>
      </c>
      <c r="DE66" s="22">
        <f t="shared" si="141"/>
        <v>14.074074074074073</v>
      </c>
      <c r="DF66" s="22">
        <f t="shared" si="142"/>
        <v>16.296296296296294</v>
      </c>
      <c r="DG66" s="19">
        <f t="shared" si="181"/>
        <v>16.09090909090909</v>
      </c>
      <c r="DH66" s="20">
        <f t="shared" si="143"/>
        <v>74.718000000000004</v>
      </c>
      <c r="DI66" s="19">
        <f t="shared" si="182"/>
        <v>3.4513235809682494</v>
      </c>
      <c r="DJ66" s="22"/>
      <c r="DK66" s="22"/>
      <c r="DL66" s="22"/>
      <c r="DM66" s="22">
        <f t="shared" si="144"/>
        <v>200</v>
      </c>
      <c r="DN66" s="22"/>
      <c r="DO66" s="22"/>
      <c r="DP66" s="20"/>
      <c r="DQ66" s="22"/>
      <c r="DR66" s="22"/>
      <c r="DS66" s="19"/>
      <c r="DT66" s="23"/>
      <c r="DU66" s="22">
        <f t="shared" si="183"/>
        <v>26.363636363636363</v>
      </c>
      <c r="DV66" s="22">
        <f t="shared" si="145"/>
        <v>18.631578947368421</v>
      </c>
      <c r="DW66" s="22">
        <f t="shared" si="184"/>
        <v>0.21825038074137781</v>
      </c>
      <c r="DX66" s="22">
        <f t="shared" si="146"/>
        <v>61.03448275862069</v>
      </c>
      <c r="DY66" s="22">
        <f t="shared" si="147"/>
        <v>3.7931034482758621</v>
      </c>
      <c r="DZ66" s="19"/>
      <c r="EA66" s="23">
        <f t="shared" si="185"/>
        <v>8.518518518518519E-4</v>
      </c>
      <c r="EB66" s="19">
        <f t="shared" si="148"/>
        <v>6.2146892655367235E-2</v>
      </c>
      <c r="EC66" s="19">
        <f t="shared" si="186"/>
        <v>0.10344627062521947</v>
      </c>
      <c r="EE66" s="19">
        <f t="shared" si="187"/>
        <v>38.629737609329446</v>
      </c>
      <c r="EF66" s="19">
        <f t="shared" si="188"/>
        <v>4.5553935860058301</v>
      </c>
      <c r="EG66" s="19">
        <f t="shared" si="189"/>
        <v>6.8270165208940714</v>
      </c>
      <c r="EH66" s="19">
        <f t="shared" si="190"/>
        <v>14.224975704567541</v>
      </c>
      <c r="EI66" s="19">
        <f t="shared" si="191"/>
        <v>0.26724975704567538</v>
      </c>
      <c r="EJ66" s="19">
        <f t="shared" si="192"/>
        <v>14.455782312925169</v>
      </c>
      <c r="EK66" s="19">
        <f t="shared" si="193"/>
        <v>16.132167152575313</v>
      </c>
      <c r="EL66" s="19">
        <f t="shared" si="194"/>
        <v>0.3887269193391642</v>
      </c>
      <c r="EM66" s="19">
        <f t="shared" si="195"/>
        <v>2.9518950437317786</v>
      </c>
      <c r="EN66" s="19">
        <f t="shared" si="196"/>
        <v>1.5670553935860057</v>
      </c>
      <c r="EO66" s="19">
        <f t="shared" si="197"/>
        <v>99.999999999999986</v>
      </c>
      <c r="EP66" s="14"/>
      <c r="EU66" s="36"/>
      <c r="EV66" s="36"/>
    </row>
    <row r="67" spans="1:152">
      <c r="A67" s="1" t="s">
        <v>7</v>
      </c>
      <c r="B67" s="36" t="s">
        <v>34</v>
      </c>
      <c r="C67" s="36">
        <v>2</v>
      </c>
      <c r="D67" s="1" t="s">
        <v>30</v>
      </c>
      <c r="E67" s="1" t="s">
        <v>12</v>
      </c>
      <c r="F67" s="2" t="s">
        <v>3</v>
      </c>
      <c r="G67" s="14">
        <v>37.1</v>
      </c>
      <c r="H67" s="14">
        <v>5.62</v>
      </c>
      <c r="I67" s="14">
        <v>6.65</v>
      </c>
      <c r="J67" s="14">
        <v>12.19</v>
      </c>
      <c r="K67" s="14">
        <v>0.2</v>
      </c>
      <c r="L67" s="14">
        <v>12.54</v>
      </c>
      <c r="M67" s="14">
        <v>13.06</v>
      </c>
      <c r="N67" s="14">
        <v>0.79</v>
      </c>
      <c r="O67" s="14">
        <v>5.81</v>
      </c>
      <c r="P67" s="14">
        <v>1.34</v>
      </c>
      <c r="Q67" s="14">
        <v>3.26</v>
      </c>
      <c r="R67" s="14"/>
      <c r="S67" s="15">
        <f t="shared" si="134"/>
        <v>98.560000000000016</v>
      </c>
      <c r="U67" s="86">
        <v>0.70459400000000005</v>
      </c>
      <c r="V67" s="86">
        <v>0.51253800000000005</v>
      </c>
      <c r="W67" s="84"/>
      <c r="X67" s="84"/>
      <c r="Y67" s="84"/>
      <c r="Z67" s="131"/>
      <c r="AA67" s="131"/>
      <c r="AB67" s="14"/>
      <c r="AC67" s="14"/>
      <c r="AD67" s="14"/>
      <c r="AF67" s="19">
        <f t="shared" si="149"/>
        <v>0.70565841019508058</v>
      </c>
      <c r="AG67" s="20">
        <f t="shared" si="150"/>
        <v>33691.9</v>
      </c>
      <c r="AH67" s="20">
        <f t="shared" si="135"/>
        <v>48234.619999999995</v>
      </c>
      <c r="AI67" s="20">
        <f t="shared" si="151"/>
        <v>5847.76</v>
      </c>
      <c r="AJ67" s="19">
        <f t="shared" si="136"/>
        <v>6.6</v>
      </c>
      <c r="AK67" s="19">
        <f t="shared" si="152"/>
        <v>7.3544303797468347</v>
      </c>
      <c r="AL67" s="19">
        <f t="shared" si="153"/>
        <v>0.13597246127366611</v>
      </c>
      <c r="AM67" s="19">
        <f t="shared" si="154"/>
        <v>1.9639097744360903</v>
      </c>
      <c r="AN67" s="19">
        <f t="shared" si="155"/>
        <v>0.87368421052631573</v>
      </c>
      <c r="AO67" s="19">
        <f t="shared" si="156"/>
        <v>1.1410831089908691</v>
      </c>
      <c r="AP67" s="19">
        <f t="shared" si="157"/>
        <v>0.87636035633229414</v>
      </c>
      <c r="AQ67" s="19">
        <f t="shared" si="158"/>
        <v>0.21223758481155289</v>
      </c>
      <c r="AR67" s="19">
        <f t="shared" si="159"/>
        <v>1.1410831089908691</v>
      </c>
      <c r="AS67" s="118">
        <f t="shared" si="160"/>
        <v>565.92572316267785</v>
      </c>
      <c r="AT67" s="118">
        <f t="shared" si="161"/>
        <v>2256.1022073569197</v>
      </c>
      <c r="AU67" s="14">
        <f t="shared" si="162"/>
        <v>0.15660377358490565</v>
      </c>
      <c r="AV67" s="14">
        <f t="shared" si="163"/>
        <v>0.94565649793272977</v>
      </c>
      <c r="AX67" s="118">
        <v>162.97</v>
      </c>
      <c r="AY67" s="118">
        <v>3033.89</v>
      </c>
      <c r="AZ67" s="118">
        <v>2860.61</v>
      </c>
      <c r="BA67" s="117">
        <v>1.0900000000000001</v>
      </c>
      <c r="BB67" s="118">
        <v>25.01</v>
      </c>
      <c r="BC67" s="118">
        <v>160.25</v>
      </c>
      <c r="BD67" s="118">
        <v>579.54</v>
      </c>
      <c r="BE67" s="118">
        <v>54.3</v>
      </c>
      <c r="BF67" s="118">
        <v>176.75</v>
      </c>
      <c r="BG67" s="118">
        <v>151.74</v>
      </c>
      <c r="BH67" s="118">
        <v>147.36000000000001</v>
      </c>
      <c r="BI67" s="118">
        <v>18.38</v>
      </c>
      <c r="BJ67" s="118">
        <v>441.85</v>
      </c>
      <c r="BK67" s="118">
        <v>285.39</v>
      </c>
      <c r="BL67" s="117">
        <v>9.7200000000000006</v>
      </c>
      <c r="BM67" s="117">
        <v>16.14</v>
      </c>
      <c r="BN67" s="117">
        <v>221.95</v>
      </c>
      <c r="BO67" s="117">
        <v>421.07</v>
      </c>
      <c r="BP67" s="117">
        <v>49.13</v>
      </c>
      <c r="BQ67" s="117">
        <v>173.99</v>
      </c>
      <c r="BR67" s="14">
        <v>21.43</v>
      </c>
      <c r="BS67" s="14">
        <v>5.71</v>
      </c>
      <c r="BT67" s="117">
        <v>13.27</v>
      </c>
      <c r="BU67" s="14">
        <v>1.24</v>
      </c>
      <c r="BV67" s="14">
        <v>4.59</v>
      </c>
      <c r="BW67" s="14">
        <v>0.66</v>
      </c>
      <c r="BX67" s="14">
        <v>1.34</v>
      </c>
      <c r="BY67" s="14">
        <v>0.18</v>
      </c>
      <c r="BZ67" s="14">
        <v>1.04</v>
      </c>
      <c r="CA67" s="14">
        <v>0.14000000000000001</v>
      </c>
      <c r="CB67" s="117">
        <v>8.9499999999999993</v>
      </c>
      <c r="CC67" s="117">
        <v>26.46</v>
      </c>
      <c r="CD67" s="118">
        <v>6</v>
      </c>
      <c r="CE67" s="118">
        <v>15.31</v>
      </c>
      <c r="CG67" s="22">
        <f t="shared" si="164"/>
        <v>917.14876033057851</v>
      </c>
      <c r="CH67" s="22">
        <f t="shared" si="165"/>
        <v>663.10236220472439</v>
      </c>
      <c r="CI67" s="22">
        <f t="shared" si="166"/>
        <v>510.17653167185881</v>
      </c>
      <c r="CJ67" s="22">
        <f>BQ67/0.48</f>
        <v>362.47916666666669</v>
      </c>
      <c r="CK67" s="22">
        <f>BR67/0.156</f>
        <v>137.37179487179486</v>
      </c>
      <c r="CL67" s="22">
        <f t="shared" si="167"/>
        <v>96.615905245346866</v>
      </c>
      <c r="CM67" s="22">
        <f t="shared" si="168"/>
        <v>62.594339622641506</v>
      </c>
      <c r="CN67" s="22">
        <f t="shared" si="169"/>
        <v>32.978723404255319</v>
      </c>
      <c r="CO67" s="22">
        <f t="shared" si="170"/>
        <v>17.722007722007721</v>
      </c>
      <c r="CP67" s="22">
        <f t="shared" si="171"/>
        <v>11.282051282051281</v>
      </c>
      <c r="CQ67" s="22">
        <f t="shared" si="172"/>
        <v>8.220858895705522</v>
      </c>
      <c r="CR67" s="22">
        <f t="shared" si="173"/>
        <v>7.0312499999999991</v>
      </c>
      <c r="CS67" s="22">
        <f t="shared" si="174"/>
        <v>6.2650602409638552</v>
      </c>
      <c r="CT67" s="22">
        <f>CA67/0.025</f>
        <v>5.6000000000000005</v>
      </c>
      <c r="CU67" s="22">
        <f t="shared" si="175"/>
        <v>10.023511685763342</v>
      </c>
      <c r="CV67" s="117">
        <f t="shared" si="176"/>
        <v>12.888533453480514</v>
      </c>
      <c r="CW67" s="22">
        <f t="shared" si="138"/>
        <v>0.77770769823749952</v>
      </c>
      <c r="CX67" s="20">
        <f t="shared" si="177"/>
        <v>118.05564315498091</v>
      </c>
      <c r="CY67" s="22">
        <f t="shared" si="178"/>
        <v>47.046927374301681</v>
      </c>
      <c r="CZ67" s="22">
        <f t="shared" si="179"/>
        <v>47.564999999999998</v>
      </c>
      <c r="DA67" s="22">
        <f>AX67/BR67</f>
        <v>7.6047596826878205</v>
      </c>
      <c r="DB67" s="22">
        <f t="shared" si="139"/>
        <v>1.5482322435964821</v>
      </c>
      <c r="DC67" s="22">
        <f t="shared" si="180"/>
        <v>108.11073318216175</v>
      </c>
      <c r="DD67" s="22">
        <f t="shared" si="140"/>
        <v>1.6394052044609666</v>
      </c>
      <c r="DE67" s="22">
        <f t="shared" si="141"/>
        <v>15.51923076923077</v>
      </c>
      <c r="DF67" s="22">
        <f t="shared" si="142"/>
        <v>25.442307692307693</v>
      </c>
      <c r="DG67" s="19">
        <f t="shared" si="181"/>
        <v>15.527203482045701</v>
      </c>
      <c r="DH67" s="20">
        <f t="shared" si="143"/>
        <v>217.32200946159043</v>
      </c>
      <c r="DI67" s="19">
        <f t="shared" si="182"/>
        <v>2.0778089235380652</v>
      </c>
      <c r="DJ67" s="22">
        <f>BN67/CA67</f>
        <v>1585.3571428571427</v>
      </c>
      <c r="DK67" s="22">
        <f>CG67/CT67</f>
        <v>163.77656434474613</v>
      </c>
      <c r="DL67" s="22">
        <f>CG67/CK67</f>
        <v>6.676397882014478</v>
      </c>
      <c r="DM67" s="22">
        <f t="shared" si="144"/>
        <v>213.41346153846152</v>
      </c>
      <c r="DN67" s="22">
        <f t="shared" ref="DN67:DN73" si="198">BR67/BZ67</f>
        <v>20.60576923076923</v>
      </c>
      <c r="DO67" s="22">
        <f>BL67/BQ67</f>
        <v>5.5865279613770906E-2</v>
      </c>
      <c r="DP67" s="20">
        <f>AY67/BZ67</f>
        <v>2917.2019230769229</v>
      </c>
      <c r="DQ67" s="22">
        <f>AY67/BQ67</f>
        <v>17.437151560434508</v>
      </c>
      <c r="DR67" s="22">
        <f>AY67/(((BR67/0.195)*(BT67/0.259))^0.5)</f>
        <v>40.431557477097819</v>
      </c>
      <c r="DS67" s="19">
        <f>(BS67/0.074)/(((BR67/0.195)*(BT67/0.259))^0.5)</f>
        <v>1.028312296924609</v>
      </c>
      <c r="DT67" s="23">
        <f>1/AY67</f>
        <v>3.2960984083140789E-4</v>
      </c>
      <c r="DU67" s="22">
        <f t="shared" si="183"/>
        <v>24.039717083786726</v>
      </c>
      <c r="DV67" s="22">
        <f t="shared" si="145"/>
        <v>17.682156133828993</v>
      </c>
      <c r="DW67" s="22">
        <f t="shared" si="184"/>
        <v>0.27970888803987082</v>
      </c>
      <c r="DX67" s="22">
        <f t="shared" si="146"/>
        <v>64.589792916148014</v>
      </c>
      <c r="DY67" s="22">
        <f t="shared" si="147"/>
        <v>5.9884576213647165</v>
      </c>
      <c r="DZ67" s="19">
        <f>EK67*100/AY67</f>
        <v>0.45170036949193976</v>
      </c>
      <c r="EA67" s="23">
        <f t="shared" si="185"/>
        <v>4.9110159945933776E-3</v>
      </c>
      <c r="EB67" s="19">
        <f t="shared" si="148"/>
        <v>9.2715231788079472E-2</v>
      </c>
      <c r="EC67" s="19">
        <f t="shared" si="186"/>
        <v>0.1068587321776296</v>
      </c>
      <c r="EE67" s="19">
        <f t="shared" si="187"/>
        <v>38.929695697796426</v>
      </c>
      <c r="EF67" s="19">
        <f t="shared" si="188"/>
        <v>5.8971668415529894</v>
      </c>
      <c r="EG67" s="19">
        <f t="shared" si="189"/>
        <v>6.9779643231899255</v>
      </c>
      <c r="EH67" s="19">
        <f t="shared" si="190"/>
        <v>12.79118572927597</v>
      </c>
      <c r="EI67" s="19">
        <f t="shared" si="191"/>
        <v>0.20986358866736618</v>
      </c>
      <c r="EJ67" s="19">
        <f t="shared" si="192"/>
        <v>13.15844700944386</v>
      </c>
      <c r="EK67" s="19">
        <f t="shared" si="193"/>
        <v>13.704092339979011</v>
      </c>
      <c r="EL67" s="19">
        <f t="shared" si="194"/>
        <v>0.82896117523609647</v>
      </c>
      <c r="EM67" s="19">
        <f t="shared" si="195"/>
        <v>6.0965372507869882</v>
      </c>
      <c r="EN67" s="19">
        <f t="shared" si="196"/>
        <v>1.4060860440713534</v>
      </c>
      <c r="EO67" s="19">
        <f t="shared" si="197"/>
        <v>100</v>
      </c>
      <c r="EP67" s="14"/>
      <c r="EU67" s="36"/>
    </row>
    <row r="68" spans="1:152">
      <c r="A68" s="1" t="s">
        <v>7</v>
      </c>
      <c r="B68" s="36" t="s">
        <v>34</v>
      </c>
      <c r="C68" s="1">
        <v>2</v>
      </c>
      <c r="D68" s="1" t="s">
        <v>30</v>
      </c>
      <c r="E68" s="1" t="s">
        <v>12</v>
      </c>
      <c r="F68" s="2" t="s">
        <v>3</v>
      </c>
      <c r="G68" s="14">
        <v>40.15</v>
      </c>
      <c r="H68" s="14">
        <v>3.32</v>
      </c>
      <c r="I68" s="14">
        <v>7.49</v>
      </c>
      <c r="J68" s="14">
        <v>10.62</v>
      </c>
      <c r="K68" s="14">
        <v>0.17</v>
      </c>
      <c r="L68" s="14">
        <v>16.670000000000002</v>
      </c>
      <c r="M68" s="14">
        <v>10.34</v>
      </c>
      <c r="N68" s="14">
        <v>0.96</v>
      </c>
      <c r="O68" s="14">
        <v>7.03</v>
      </c>
      <c r="P68" s="14">
        <v>0.46</v>
      </c>
      <c r="Q68" s="14">
        <v>1.28</v>
      </c>
      <c r="R68" s="14"/>
      <c r="S68" s="15">
        <f t="shared" si="134"/>
        <v>98.49</v>
      </c>
      <c r="U68" s="86">
        <v>0.70520899999999997</v>
      </c>
      <c r="V68" s="86">
        <v>0.51247900000000002</v>
      </c>
      <c r="W68" s="84"/>
      <c r="X68" s="84"/>
      <c r="Y68" s="84"/>
      <c r="Z68" s="131"/>
      <c r="AA68" s="131"/>
      <c r="AB68" s="14"/>
      <c r="AC68" s="14"/>
      <c r="AD68" s="14"/>
      <c r="AF68" s="19">
        <f t="shared" si="149"/>
        <v>0.78532196876533966</v>
      </c>
      <c r="AG68" s="20">
        <f t="shared" si="150"/>
        <v>19903.399999999998</v>
      </c>
      <c r="AH68" s="20">
        <f t="shared" si="135"/>
        <v>58363.060000000005</v>
      </c>
      <c r="AI68" s="20">
        <f t="shared" si="151"/>
        <v>2007.44</v>
      </c>
      <c r="AJ68" s="19">
        <f t="shared" si="136"/>
        <v>7.99</v>
      </c>
      <c r="AK68" s="19">
        <f t="shared" si="152"/>
        <v>7.322916666666667</v>
      </c>
      <c r="AL68" s="19">
        <f t="shared" si="153"/>
        <v>0.13655761024182075</v>
      </c>
      <c r="AM68" s="19">
        <f t="shared" si="154"/>
        <v>1.3805073431241655</v>
      </c>
      <c r="AN68" s="19">
        <f t="shared" si="155"/>
        <v>0.93858477970627507</v>
      </c>
      <c r="AO68" s="19">
        <f t="shared" si="156"/>
        <v>1.2267505594845354</v>
      </c>
      <c r="AP68" s="19">
        <f t="shared" si="157"/>
        <v>0.81516164167896288</v>
      </c>
      <c r="AQ68" s="19">
        <f t="shared" si="158"/>
        <v>0.26761764452745185</v>
      </c>
      <c r="AR68" s="19">
        <f t="shared" si="159"/>
        <v>1.2267505594845354</v>
      </c>
      <c r="AS68" s="118">
        <f t="shared" si="160"/>
        <v>487.9937747021238</v>
      </c>
      <c r="AT68" s="118">
        <f t="shared" si="161"/>
        <v>2140.2040878399566</v>
      </c>
      <c r="AU68" s="14">
        <f t="shared" si="162"/>
        <v>0.17509339975093402</v>
      </c>
      <c r="AV68" s="14">
        <f t="shared" si="163"/>
        <v>1.0159034409644565</v>
      </c>
      <c r="AX68" s="118">
        <v>189.24</v>
      </c>
      <c r="AY68" s="118">
        <v>1570.61</v>
      </c>
      <c r="AZ68" s="118">
        <v>3501.27</v>
      </c>
      <c r="BA68" s="117">
        <v>0.61</v>
      </c>
      <c r="BB68" s="118">
        <v>24.05</v>
      </c>
      <c r="BC68" s="118">
        <v>181.4</v>
      </c>
      <c r="BD68" s="118">
        <v>833.89</v>
      </c>
      <c r="BE68" s="118">
        <v>60.82</v>
      </c>
      <c r="BF68" s="118">
        <v>563.26</v>
      </c>
      <c r="BG68" s="118">
        <v>93.34</v>
      </c>
      <c r="BH68" s="118">
        <v>94.97</v>
      </c>
      <c r="BI68" s="118">
        <v>15.64</v>
      </c>
      <c r="BJ68" s="118">
        <v>250.98</v>
      </c>
      <c r="BK68" s="118">
        <v>173.19</v>
      </c>
      <c r="BL68" s="117">
        <v>5.67</v>
      </c>
      <c r="BM68" s="117">
        <v>8.59</v>
      </c>
      <c r="BN68" s="117">
        <v>150.84</v>
      </c>
      <c r="BO68" s="117">
        <v>284.61</v>
      </c>
      <c r="BP68" s="117">
        <v>32.630000000000003</v>
      </c>
      <c r="BQ68" s="117">
        <v>113.86</v>
      </c>
      <c r="BR68" s="14">
        <v>14.01</v>
      </c>
      <c r="BS68" s="14">
        <v>4.12</v>
      </c>
      <c r="BT68" s="117">
        <v>8.8699999999999992</v>
      </c>
      <c r="BU68" s="14">
        <v>0.84</v>
      </c>
      <c r="BV68" s="14">
        <v>3.37</v>
      </c>
      <c r="BW68" s="14">
        <v>0.54</v>
      </c>
      <c r="BX68" s="14">
        <v>1.23</v>
      </c>
      <c r="BY68" s="14">
        <v>0.18</v>
      </c>
      <c r="BZ68" s="14">
        <v>1.07</v>
      </c>
      <c r="CA68" s="14">
        <v>0.16</v>
      </c>
      <c r="CB68" s="117">
        <v>6.43</v>
      </c>
      <c r="CC68" s="117">
        <v>21.24</v>
      </c>
      <c r="CD68" s="118">
        <v>4.8</v>
      </c>
      <c r="CE68" s="118">
        <v>12.25</v>
      </c>
      <c r="CG68" s="22">
        <f t="shared" si="164"/>
        <v>623.30578512396698</v>
      </c>
      <c r="CH68" s="22">
        <f t="shared" si="165"/>
        <v>448.20472440944883</v>
      </c>
      <c r="CI68" s="22">
        <f t="shared" si="166"/>
        <v>338.83696780893047</v>
      </c>
      <c r="CJ68" s="22">
        <f>BQ68/0.48</f>
        <v>237.20833333333334</v>
      </c>
      <c r="CK68" s="22">
        <f>BR68/0.156</f>
        <v>89.807692307692307</v>
      </c>
      <c r="CL68" s="22">
        <f t="shared" si="167"/>
        <v>69.712351945854479</v>
      </c>
      <c r="CM68" s="22">
        <f t="shared" si="168"/>
        <v>41.839622641509429</v>
      </c>
      <c r="CN68" s="22">
        <f t="shared" si="169"/>
        <v>22.340425531914892</v>
      </c>
      <c r="CO68" s="22">
        <f t="shared" si="170"/>
        <v>13.011583011583012</v>
      </c>
      <c r="CP68" s="22">
        <f t="shared" si="171"/>
        <v>9.2307692307692317</v>
      </c>
      <c r="CQ68" s="22">
        <f t="shared" si="172"/>
        <v>7.5460122699386503</v>
      </c>
      <c r="CR68" s="22">
        <f t="shared" si="173"/>
        <v>7.0312499999999991</v>
      </c>
      <c r="CS68" s="22">
        <f t="shared" si="174"/>
        <v>6.4457831325301207</v>
      </c>
      <c r="CT68" s="22">
        <f>CA68/0.025</f>
        <v>6.3999999999999995</v>
      </c>
      <c r="CU68" s="22">
        <f t="shared" si="175"/>
        <v>20.216351983370863</v>
      </c>
      <c r="CV68" s="117">
        <f t="shared" si="176"/>
        <v>23.211813842482101</v>
      </c>
      <c r="CW68" s="22">
        <f t="shared" si="138"/>
        <v>0.87095097869392002</v>
      </c>
      <c r="CX68" s="20">
        <f t="shared" si="177"/>
        <v>114.92233962699923</v>
      </c>
      <c r="CY68" s="22">
        <f t="shared" si="178"/>
        <v>44.262830482115092</v>
      </c>
      <c r="CZ68" s="22">
        <f t="shared" si="179"/>
        <v>36.081250000000004</v>
      </c>
      <c r="DA68" s="22">
        <f>AX68/BR68</f>
        <v>13.507494646680943</v>
      </c>
      <c r="DB68" s="22">
        <f t="shared" si="139"/>
        <v>1.4491598822102891</v>
      </c>
      <c r="DC68" s="22">
        <f t="shared" si="180"/>
        <v>164.84322033898306</v>
      </c>
      <c r="DD68" s="22">
        <f t="shared" si="140"/>
        <v>2.4726426076833525</v>
      </c>
      <c r="DE68" s="22">
        <f t="shared" si="141"/>
        <v>8.0280373831775691</v>
      </c>
      <c r="DF68" s="22">
        <f t="shared" si="142"/>
        <v>19.850467289719624</v>
      </c>
      <c r="DG68" s="19">
        <f t="shared" si="181"/>
        <v>11.073529411764705</v>
      </c>
      <c r="DH68" s="20">
        <f t="shared" si="143"/>
        <v>386.92031291434637</v>
      </c>
      <c r="DI68" s="19">
        <f t="shared" si="182"/>
        <v>1.2816076115095016</v>
      </c>
      <c r="DJ68" s="22">
        <f>BN68/CA68</f>
        <v>942.75</v>
      </c>
      <c r="DK68" s="22">
        <f>CG68/CT68</f>
        <v>97.391528925619852</v>
      </c>
      <c r="DL68" s="22">
        <f>CG68/CK68</f>
        <v>6.9404498557700824</v>
      </c>
      <c r="DM68" s="22">
        <f t="shared" si="144"/>
        <v>140.97196261682242</v>
      </c>
      <c r="DN68" s="22">
        <f t="shared" si="198"/>
        <v>13.093457943925232</v>
      </c>
      <c r="DO68" s="22">
        <f>BL68/BQ68</f>
        <v>4.9797997540839627E-2</v>
      </c>
      <c r="DP68" s="20">
        <f>AY68/BZ68</f>
        <v>1467.8598130841119</v>
      </c>
      <c r="DQ68" s="22">
        <f>AY68/BQ68</f>
        <v>13.79422097312489</v>
      </c>
      <c r="DR68" s="22">
        <f>AY68/(((BR68/0.195)*(BT68/0.259))^0.5)</f>
        <v>31.663190104389503</v>
      </c>
      <c r="DS68" s="19">
        <f>(BS68/0.074)/(((BR68/0.195)*(BT68/0.259))^0.5)</f>
        <v>1.122410721381663</v>
      </c>
      <c r="DT68" s="23">
        <f>1/AY68</f>
        <v>6.3669529673184304E-4</v>
      </c>
      <c r="DU68" s="22">
        <f t="shared" si="183"/>
        <v>16.047314578005114</v>
      </c>
      <c r="DV68" s="22">
        <f t="shared" si="145"/>
        <v>20.161816065192085</v>
      </c>
      <c r="DW68" s="22">
        <f t="shared" si="184"/>
        <v>0.4699135203128102</v>
      </c>
      <c r="DX68" s="22">
        <f t="shared" si="146"/>
        <v>69.005498446091323</v>
      </c>
      <c r="DY68" s="22">
        <f t="shared" si="147"/>
        <v>8.4628257231651922</v>
      </c>
      <c r="DZ68" s="19">
        <f>EK68*100/AY68</f>
        <v>0.67723787349112818</v>
      </c>
      <c r="EA68" s="23">
        <f t="shared" si="185"/>
        <v>4.0440201538053562E-3</v>
      </c>
      <c r="EB68" s="19">
        <f t="shared" si="148"/>
        <v>0.12263987528148276</v>
      </c>
      <c r="EC68" s="19">
        <f t="shared" si="186"/>
        <v>0.1145815973920612</v>
      </c>
      <c r="EE68" s="19">
        <f t="shared" si="187"/>
        <v>41.302335150704664</v>
      </c>
      <c r="EF68" s="19">
        <f t="shared" si="188"/>
        <v>3.4152864931591402</v>
      </c>
      <c r="EG68" s="19">
        <f t="shared" si="189"/>
        <v>7.7049686246270968</v>
      </c>
      <c r="EH68" s="19">
        <f t="shared" si="190"/>
        <v>10.924801975105442</v>
      </c>
      <c r="EI68" s="19">
        <f t="shared" si="191"/>
        <v>0.1748791276617632</v>
      </c>
      <c r="EJ68" s="19">
        <f t="shared" si="192"/>
        <v>17.148441518362311</v>
      </c>
      <c r="EK68" s="19">
        <f t="shared" si="193"/>
        <v>10.636765764839009</v>
      </c>
      <c r="EL68" s="19">
        <f t="shared" si="194"/>
        <v>0.98755272091348634</v>
      </c>
      <c r="EM68" s="19">
        <f t="shared" si="195"/>
        <v>7.231766279189384</v>
      </c>
      <c r="EN68" s="19">
        <f t="shared" si="196"/>
        <v>0.47320234543771222</v>
      </c>
      <c r="EO68" s="19">
        <f t="shared" si="197"/>
        <v>100.00000000000001</v>
      </c>
      <c r="EP68" s="14"/>
      <c r="EU68" s="71"/>
      <c r="EV68" s="71"/>
    </row>
    <row r="69" spans="1:152">
      <c r="A69" s="1" t="s">
        <v>7</v>
      </c>
      <c r="B69" s="1" t="s">
        <v>33</v>
      </c>
      <c r="C69" s="36">
        <v>2</v>
      </c>
      <c r="D69" s="1" t="s">
        <v>30</v>
      </c>
      <c r="E69" s="1" t="s">
        <v>12</v>
      </c>
      <c r="F69" s="2" t="s">
        <v>3</v>
      </c>
      <c r="G69" s="132">
        <v>38.28</v>
      </c>
      <c r="H69" s="132">
        <v>3.36</v>
      </c>
      <c r="I69" s="132">
        <v>6.7</v>
      </c>
      <c r="J69" s="132">
        <v>10.3</v>
      </c>
      <c r="K69" s="132">
        <v>0.17</v>
      </c>
      <c r="L69" s="132">
        <v>19.71</v>
      </c>
      <c r="M69" s="132">
        <v>9.67</v>
      </c>
      <c r="N69" s="132">
        <v>0.51</v>
      </c>
      <c r="O69" s="132">
        <v>5.16</v>
      </c>
      <c r="P69" s="132">
        <v>0.81</v>
      </c>
      <c r="Q69" s="132">
        <v>2.42</v>
      </c>
      <c r="R69" s="14"/>
      <c r="S69" s="15">
        <f t="shared" si="134"/>
        <v>97.090000000000018</v>
      </c>
      <c r="U69" s="86">
        <v>0.70519699999999996</v>
      </c>
      <c r="V69" s="86">
        <v>0.51249900000000004</v>
      </c>
      <c r="W69" s="84"/>
      <c r="X69" s="84"/>
      <c r="Y69" s="84"/>
      <c r="Z69" s="131"/>
      <c r="AA69" s="131"/>
      <c r="AB69" s="14"/>
      <c r="AC69" s="14"/>
      <c r="AD69" s="14"/>
      <c r="AF69" s="19">
        <f t="shared" si="149"/>
        <v>0.81683727762766711</v>
      </c>
      <c r="AG69" s="20">
        <f t="shared" si="150"/>
        <v>20143.2</v>
      </c>
      <c r="AH69" s="20">
        <f t="shared" si="135"/>
        <v>42838.32</v>
      </c>
      <c r="AI69" s="20">
        <f t="shared" si="151"/>
        <v>3534.84</v>
      </c>
      <c r="AJ69" s="19">
        <f t="shared" si="136"/>
        <v>5.67</v>
      </c>
      <c r="AK69" s="19">
        <f t="shared" si="152"/>
        <v>10.117647058823529</v>
      </c>
      <c r="AL69" s="19">
        <f t="shared" si="153"/>
        <v>9.8837209302325577E-2</v>
      </c>
      <c r="AM69" s="19">
        <f t="shared" si="154"/>
        <v>1.4432835820895522</v>
      </c>
      <c r="AN69" s="19">
        <f t="shared" si="155"/>
        <v>0.77014925373134324</v>
      </c>
      <c r="AO69" s="19">
        <f t="shared" si="156"/>
        <v>0.95881252630307001</v>
      </c>
      <c r="AP69" s="19">
        <f t="shared" si="157"/>
        <v>1.0429567538669295</v>
      </c>
      <c r="AQ69" s="19">
        <f t="shared" si="158"/>
        <v>0.27910578576675943</v>
      </c>
      <c r="AR69" s="19">
        <f t="shared" si="159"/>
        <v>0.95881252630307001</v>
      </c>
      <c r="AS69" s="118">
        <f t="shared" si="160"/>
        <v>1002.7923584703884</v>
      </c>
      <c r="AT69" s="118">
        <f t="shared" si="161"/>
        <v>2264.9004938581911</v>
      </c>
      <c r="AU69" s="14">
        <f t="shared" si="162"/>
        <v>0.13479623824451412</v>
      </c>
      <c r="AV69" s="14">
        <f t="shared" si="163"/>
        <v>0.83359254682003991</v>
      </c>
      <c r="AX69" s="118"/>
      <c r="AY69" s="118"/>
      <c r="AZ69" s="133">
        <v>2929</v>
      </c>
      <c r="BA69" s="134">
        <v>0.8</v>
      </c>
      <c r="BB69" s="133">
        <v>7</v>
      </c>
      <c r="BC69" s="133">
        <v>121</v>
      </c>
      <c r="BD69" s="133">
        <v>815</v>
      </c>
      <c r="BE69" s="133">
        <v>67</v>
      </c>
      <c r="BF69" s="133">
        <v>686</v>
      </c>
      <c r="BG69" s="133">
        <v>82</v>
      </c>
      <c r="BH69" s="133">
        <v>93</v>
      </c>
      <c r="BI69" s="133">
        <v>14</v>
      </c>
      <c r="BJ69" s="133">
        <v>234</v>
      </c>
      <c r="BK69" s="133">
        <v>200</v>
      </c>
      <c r="BL69" s="134"/>
      <c r="BM69" s="134">
        <v>9.9</v>
      </c>
      <c r="BN69" s="134">
        <v>169</v>
      </c>
      <c r="BO69" s="134">
        <v>285</v>
      </c>
      <c r="BP69" s="134">
        <v>36</v>
      </c>
      <c r="BQ69" s="117"/>
      <c r="BR69" s="14"/>
      <c r="BS69" s="135">
        <v>3.8</v>
      </c>
      <c r="BT69" s="134">
        <v>8.5</v>
      </c>
      <c r="BU69" s="135">
        <v>0.86</v>
      </c>
      <c r="BV69" s="135">
        <v>3.5</v>
      </c>
      <c r="BW69" s="135">
        <v>0.53</v>
      </c>
      <c r="BX69" s="135">
        <v>1.17</v>
      </c>
      <c r="BY69" s="135">
        <v>0.16</v>
      </c>
      <c r="BZ69" s="135">
        <v>0.93</v>
      </c>
      <c r="CA69" s="14"/>
      <c r="CB69" s="134">
        <v>8.5</v>
      </c>
      <c r="CC69" s="134">
        <v>14</v>
      </c>
      <c r="CD69" s="133">
        <v>5.4</v>
      </c>
      <c r="CE69" s="133">
        <v>12</v>
      </c>
      <c r="CG69" s="22">
        <f t="shared" si="164"/>
        <v>698.34710743801656</v>
      </c>
      <c r="CH69" s="22">
        <f t="shared" si="165"/>
        <v>448.81889763779526</v>
      </c>
      <c r="CI69" s="22">
        <f t="shared" si="166"/>
        <v>373.8317757009346</v>
      </c>
      <c r="CJ69" s="22"/>
      <c r="CK69" s="22"/>
      <c r="CL69" s="22">
        <f t="shared" si="167"/>
        <v>64.297800338409473</v>
      </c>
      <c r="CM69" s="22">
        <f t="shared" si="168"/>
        <v>40.094339622641513</v>
      </c>
      <c r="CN69" s="22">
        <f t="shared" si="169"/>
        <v>22.872340425531913</v>
      </c>
      <c r="CO69" s="22">
        <f t="shared" si="170"/>
        <v>13.513513513513512</v>
      </c>
      <c r="CP69" s="22">
        <f t="shared" si="171"/>
        <v>9.0598290598290596</v>
      </c>
      <c r="CQ69" s="22">
        <f t="shared" si="172"/>
        <v>7.1779141104294473</v>
      </c>
      <c r="CR69" s="22">
        <f t="shared" si="173"/>
        <v>6.25</v>
      </c>
      <c r="CS69" s="22">
        <f t="shared" si="174"/>
        <v>5.6024096385542173</v>
      </c>
      <c r="CT69" s="22"/>
      <c r="CU69" s="22">
        <f t="shared" si="175"/>
        <v>14.645</v>
      </c>
      <c r="CV69" s="117">
        <f t="shared" si="176"/>
        <v>17.331360946745562</v>
      </c>
      <c r="CW69" s="22">
        <f t="shared" si="138"/>
        <v>0.84499999999999997</v>
      </c>
      <c r="CX69" s="20">
        <f t="shared" si="177"/>
        <v>100.71600000000001</v>
      </c>
      <c r="CY69" s="22">
        <f t="shared" si="178"/>
        <v>33.529411764705884</v>
      </c>
      <c r="CZ69" s="22">
        <f t="shared" si="179"/>
        <v>37.037037037037038</v>
      </c>
      <c r="DA69" s="22"/>
      <c r="DB69" s="22">
        <f t="shared" si="139"/>
        <v>1.17</v>
      </c>
      <c r="DC69" s="22">
        <f t="shared" si="180"/>
        <v>209.21428571428572</v>
      </c>
      <c r="DD69" s="22">
        <f t="shared" si="140"/>
        <v>1.4141414141414141</v>
      </c>
      <c r="DE69" s="22">
        <f t="shared" si="141"/>
        <v>10.64516129032258</v>
      </c>
      <c r="DF69" s="22">
        <f t="shared" si="142"/>
        <v>15.053763440860214</v>
      </c>
      <c r="DG69" s="19">
        <f t="shared" si="181"/>
        <v>14.285714285714286</v>
      </c>
      <c r="DH69" s="20">
        <f t="shared" si="143"/>
        <v>253.48118343195267</v>
      </c>
      <c r="DI69" s="19">
        <f t="shared" si="182"/>
        <v>1.6286914329438364</v>
      </c>
      <c r="DJ69" s="22"/>
      <c r="DK69" s="22"/>
      <c r="DL69" s="22"/>
      <c r="DM69" s="22">
        <f t="shared" si="144"/>
        <v>181.72043010752688</v>
      </c>
      <c r="DN69" s="22">
        <f t="shared" si="198"/>
        <v>0</v>
      </c>
      <c r="DO69" s="22"/>
      <c r="DP69" s="20"/>
      <c r="DQ69" s="22"/>
      <c r="DR69" s="22"/>
      <c r="DS69" s="19"/>
      <c r="DT69" s="23"/>
      <c r="DU69" s="22">
        <f t="shared" si="183"/>
        <v>16.714285714285715</v>
      </c>
      <c r="DV69" s="22">
        <f t="shared" si="145"/>
        <v>20.202020202020201</v>
      </c>
      <c r="DW69" s="22">
        <f t="shared" si="184"/>
        <v>0.54657334226048615</v>
      </c>
      <c r="DX69" s="22">
        <f t="shared" si="146"/>
        <v>85.470085470085465</v>
      </c>
      <c r="DY69" s="22">
        <f t="shared" si="147"/>
        <v>5.982905982905983</v>
      </c>
      <c r="DZ69" s="19"/>
      <c r="EA69" s="23">
        <f t="shared" si="185"/>
        <v>4.7337278106508876E-3</v>
      </c>
      <c r="EB69" s="19">
        <f t="shared" si="148"/>
        <v>7.0000000000000007E-2</v>
      </c>
      <c r="EC69" s="19">
        <f t="shared" si="186"/>
        <v>0.14410623092979094</v>
      </c>
      <c r="EE69" s="19">
        <f t="shared" si="187"/>
        <v>40.435195943804786</v>
      </c>
      <c r="EF69" s="19">
        <f t="shared" si="188"/>
        <v>3.5491708038449343</v>
      </c>
      <c r="EG69" s="19">
        <f t="shared" si="189"/>
        <v>7.0772155910003161</v>
      </c>
      <c r="EH69" s="19">
        <f t="shared" si="190"/>
        <v>10.879898595119888</v>
      </c>
      <c r="EI69" s="19">
        <f t="shared" si="191"/>
        <v>0.17957114186120204</v>
      </c>
      <c r="EJ69" s="19">
        <f t="shared" si="192"/>
        <v>20.819689447554659</v>
      </c>
      <c r="EK69" s="19">
        <f t="shared" si="193"/>
        <v>10.214429069398964</v>
      </c>
      <c r="EL69" s="19">
        <f t="shared" si="194"/>
        <v>0.53871342558360613</v>
      </c>
      <c r="EM69" s="19">
        <f t="shared" si="195"/>
        <v>5.4505123059047209</v>
      </c>
      <c r="EN69" s="19">
        <f t="shared" si="196"/>
        <v>0.85560367592690378</v>
      </c>
      <c r="EO69" s="19">
        <f t="shared" si="197"/>
        <v>99.999999999999986</v>
      </c>
      <c r="EP69" s="14"/>
    </row>
    <row r="70" spans="1:152">
      <c r="A70" s="1" t="s">
        <v>7</v>
      </c>
      <c r="B70" s="1" t="s">
        <v>33</v>
      </c>
      <c r="C70" s="36">
        <v>2</v>
      </c>
      <c r="D70" s="1" t="s">
        <v>30</v>
      </c>
      <c r="E70" s="1" t="s">
        <v>12</v>
      </c>
      <c r="F70" s="2" t="s">
        <v>3</v>
      </c>
      <c r="G70" s="132">
        <v>37</v>
      </c>
      <c r="H70" s="132">
        <v>4.66</v>
      </c>
      <c r="I70" s="132">
        <v>7.26</v>
      </c>
      <c r="J70" s="132">
        <v>11.8</v>
      </c>
      <c r="K70" s="132">
        <v>0.2</v>
      </c>
      <c r="L70" s="132">
        <v>9.1199999999999992</v>
      </c>
      <c r="M70" s="132">
        <v>14.18</v>
      </c>
      <c r="N70" s="132">
        <v>1.1200000000000001</v>
      </c>
      <c r="O70" s="132">
        <v>6.83</v>
      </c>
      <c r="P70" s="132">
        <v>1.21</v>
      </c>
      <c r="Q70" s="132">
        <v>3.14</v>
      </c>
      <c r="R70" s="14"/>
      <c r="S70" s="15">
        <f t="shared" si="134"/>
        <v>96.52</v>
      </c>
      <c r="U70" s="86">
        <v>0.70480200000000004</v>
      </c>
      <c r="V70" s="86">
        <v>0.51249699999999998</v>
      </c>
      <c r="W70" s="84"/>
      <c r="X70" s="84"/>
      <c r="Y70" s="84"/>
      <c r="Z70" s="131"/>
      <c r="AA70" s="131"/>
      <c r="AB70" s="14"/>
      <c r="AC70" s="14"/>
      <c r="AD70" s="14"/>
      <c r="AF70" s="19">
        <f t="shared" si="149"/>
        <v>0.64301011340825875</v>
      </c>
      <c r="AG70" s="20">
        <f t="shared" si="150"/>
        <v>27936.7</v>
      </c>
      <c r="AH70" s="20">
        <f t="shared" si="135"/>
        <v>56702.66</v>
      </c>
      <c r="AI70" s="20">
        <f t="shared" si="151"/>
        <v>5280.44</v>
      </c>
      <c r="AJ70" s="19">
        <f t="shared" si="136"/>
        <v>7.95</v>
      </c>
      <c r="AK70" s="19">
        <f t="shared" si="152"/>
        <v>6.0982142857142856</v>
      </c>
      <c r="AL70" s="19">
        <f t="shared" si="153"/>
        <v>0.16398243045387995</v>
      </c>
      <c r="AM70" s="19">
        <f t="shared" si="154"/>
        <v>1.9531680440771348</v>
      </c>
      <c r="AN70" s="19">
        <f t="shared" si="155"/>
        <v>0.94077134986225897</v>
      </c>
      <c r="AO70" s="19">
        <f t="shared" si="156"/>
        <v>1.2720514590855305</v>
      </c>
      <c r="AP70" s="19">
        <f t="shared" si="157"/>
        <v>0.78613171885270539</v>
      </c>
      <c r="AQ70" s="19">
        <f t="shared" si="158"/>
        <v>0.20733383580613957</v>
      </c>
      <c r="AR70" s="19">
        <f t="shared" si="159"/>
        <v>1.2720514590855305</v>
      </c>
      <c r="AS70" s="118">
        <f t="shared" si="160"/>
        <v>220.86295956496721</v>
      </c>
      <c r="AT70" s="118">
        <f t="shared" si="161"/>
        <v>2261.868332725885</v>
      </c>
      <c r="AU70" s="14">
        <f t="shared" si="162"/>
        <v>0.1845945945945946</v>
      </c>
      <c r="AV70" s="14">
        <f t="shared" si="163"/>
        <v>1.0182701362203388</v>
      </c>
      <c r="AX70" s="118"/>
      <c r="AY70" s="118"/>
      <c r="AZ70" s="133">
        <v>2344</v>
      </c>
      <c r="BA70" s="134">
        <v>0.34</v>
      </c>
      <c r="BB70" s="133">
        <v>21</v>
      </c>
      <c r="BC70" s="133">
        <v>277</v>
      </c>
      <c r="BD70" s="133">
        <v>223</v>
      </c>
      <c r="BE70" s="133">
        <v>50</v>
      </c>
      <c r="BF70" s="133">
        <v>102</v>
      </c>
      <c r="BG70" s="133">
        <v>173</v>
      </c>
      <c r="BH70" s="133">
        <v>131</v>
      </c>
      <c r="BI70" s="133">
        <v>22</v>
      </c>
      <c r="BJ70" s="133">
        <v>535</v>
      </c>
      <c r="BK70" s="133">
        <v>341</v>
      </c>
      <c r="BL70" s="134"/>
      <c r="BM70" s="134">
        <v>20</v>
      </c>
      <c r="BN70" s="134">
        <v>237</v>
      </c>
      <c r="BO70" s="134">
        <v>416</v>
      </c>
      <c r="BP70" s="134">
        <v>53</v>
      </c>
      <c r="BQ70" s="117"/>
      <c r="BR70" s="14"/>
      <c r="BS70" s="135">
        <v>5.9</v>
      </c>
      <c r="BT70" s="134">
        <v>13</v>
      </c>
      <c r="BU70" s="135">
        <v>1.33</v>
      </c>
      <c r="BV70" s="135">
        <v>5.4</v>
      </c>
      <c r="BW70" s="135">
        <v>0.81</v>
      </c>
      <c r="BX70" s="135">
        <v>1.68</v>
      </c>
      <c r="BY70" s="135">
        <v>0.22</v>
      </c>
      <c r="BZ70" s="135">
        <v>1.34</v>
      </c>
      <c r="CA70" s="14"/>
      <c r="CB70" s="134">
        <v>11</v>
      </c>
      <c r="CC70" s="134">
        <v>30</v>
      </c>
      <c r="CD70" s="133">
        <v>7.7</v>
      </c>
      <c r="CE70" s="133">
        <v>17</v>
      </c>
      <c r="CG70" s="22">
        <f t="shared" si="164"/>
        <v>979.3388429752066</v>
      </c>
      <c r="CH70" s="22">
        <f t="shared" si="165"/>
        <v>655.11811023622045</v>
      </c>
      <c r="CI70" s="22">
        <f t="shared" si="166"/>
        <v>550.36344755970924</v>
      </c>
      <c r="CJ70" s="22"/>
      <c r="CK70" s="22"/>
      <c r="CL70" s="22">
        <f t="shared" si="167"/>
        <v>99.830795262267344</v>
      </c>
      <c r="CM70" s="22">
        <f t="shared" si="168"/>
        <v>61.320754716981135</v>
      </c>
      <c r="CN70" s="22">
        <f t="shared" si="169"/>
        <v>35.372340425531917</v>
      </c>
      <c r="CO70" s="22">
        <f t="shared" si="170"/>
        <v>20.849420849420849</v>
      </c>
      <c r="CP70" s="22">
        <f t="shared" si="171"/>
        <v>13.846153846153847</v>
      </c>
      <c r="CQ70" s="22">
        <f t="shared" si="172"/>
        <v>10.306748466257668</v>
      </c>
      <c r="CR70" s="22">
        <f t="shared" si="173"/>
        <v>8.59375</v>
      </c>
      <c r="CS70" s="22">
        <f t="shared" si="174"/>
        <v>8.0722891566265069</v>
      </c>
      <c r="CT70" s="22"/>
      <c r="CU70" s="22">
        <f t="shared" si="175"/>
        <v>6.8739002932551321</v>
      </c>
      <c r="CV70" s="117">
        <f t="shared" si="176"/>
        <v>9.890295358649789</v>
      </c>
      <c r="CW70" s="22">
        <f t="shared" si="138"/>
        <v>0.69501466275659829</v>
      </c>
      <c r="CX70" s="20">
        <f t="shared" si="177"/>
        <v>81.9258064516129</v>
      </c>
      <c r="CY70" s="22">
        <f t="shared" si="178"/>
        <v>37.81818181818182</v>
      </c>
      <c r="CZ70" s="22">
        <f t="shared" si="179"/>
        <v>44.285714285714285</v>
      </c>
      <c r="DA70" s="22"/>
      <c r="DB70" s="22">
        <f t="shared" si="139"/>
        <v>1.5689149560117301</v>
      </c>
      <c r="DC70" s="22">
        <f t="shared" si="180"/>
        <v>78.13333333333334</v>
      </c>
      <c r="DD70" s="22">
        <f t="shared" si="140"/>
        <v>1.5</v>
      </c>
      <c r="DE70" s="22">
        <f t="shared" si="141"/>
        <v>14.925373134328357</v>
      </c>
      <c r="DF70" s="22">
        <f t="shared" si="142"/>
        <v>22.388059701492537</v>
      </c>
      <c r="DG70" s="19">
        <f t="shared" si="181"/>
        <v>15.5</v>
      </c>
      <c r="DH70" s="20">
        <f t="shared" si="143"/>
        <v>239.25172995780594</v>
      </c>
      <c r="DI70" s="19">
        <f t="shared" si="182"/>
        <v>2.0212927188884273</v>
      </c>
      <c r="DJ70" s="22"/>
      <c r="DK70" s="22"/>
      <c r="DL70" s="22"/>
      <c r="DM70" s="22">
        <f t="shared" si="144"/>
        <v>176.86567164179104</v>
      </c>
      <c r="DN70" s="22">
        <f t="shared" si="198"/>
        <v>0</v>
      </c>
      <c r="DO70" s="22"/>
      <c r="DP70" s="20"/>
      <c r="DQ70" s="22"/>
      <c r="DR70" s="22"/>
      <c r="DS70" s="19"/>
      <c r="DT70" s="23"/>
      <c r="DU70" s="22">
        <f t="shared" si="183"/>
        <v>24.318181818181817</v>
      </c>
      <c r="DV70" s="22">
        <f t="shared" si="145"/>
        <v>17.05</v>
      </c>
      <c r="DW70" s="22">
        <f t="shared" si="184"/>
        <v>0.26934398386816882</v>
      </c>
      <c r="DX70" s="22">
        <f t="shared" si="146"/>
        <v>63.738317757009348</v>
      </c>
      <c r="DY70" s="22">
        <f t="shared" si="147"/>
        <v>5.6074766355140184</v>
      </c>
      <c r="DZ70" s="19"/>
      <c r="EA70" s="23">
        <f t="shared" si="185"/>
        <v>1.4345991561181435E-3</v>
      </c>
      <c r="EB70" s="19">
        <f t="shared" si="148"/>
        <v>8.797653958944282E-2</v>
      </c>
      <c r="EC70" s="19">
        <f t="shared" si="186"/>
        <v>0.12721713158970818</v>
      </c>
      <c r="EE70" s="19">
        <f t="shared" si="187"/>
        <v>39.623045620047122</v>
      </c>
      <c r="EF70" s="19">
        <f t="shared" si="188"/>
        <v>4.9903619618762054</v>
      </c>
      <c r="EG70" s="19">
        <f t="shared" si="189"/>
        <v>7.7746840865281648</v>
      </c>
      <c r="EH70" s="19">
        <f t="shared" si="190"/>
        <v>12.636538873420433</v>
      </c>
      <c r="EI70" s="19">
        <f t="shared" si="191"/>
        <v>0.21417862497322768</v>
      </c>
      <c r="EJ70" s="19">
        <f t="shared" si="192"/>
        <v>9.7665452987791816</v>
      </c>
      <c r="EK70" s="19">
        <f t="shared" si="193"/>
        <v>15.185264510601842</v>
      </c>
      <c r="EL70" s="19">
        <f t="shared" si="194"/>
        <v>1.1994002998500752</v>
      </c>
      <c r="EM70" s="19">
        <f t="shared" si="195"/>
        <v>7.3142000428357257</v>
      </c>
      <c r="EN70" s="19">
        <f t="shared" si="196"/>
        <v>1.2957806810880275</v>
      </c>
      <c r="EO70" s="19">
        <f t="shared" si="197"/>
        <v>100</v>
      </c>
      <c r="EP70" s="14"/>
    </row>
    <row r="71" spans="1:152">
      <c r="A71" s="1" t="s">
        <v>7</v>
      </c>
      <c r="B71" s="1" t="s">
        <v>33</v>
      </c>
      <c r="C71" s="1">
        <v>2</v>
      </c>
      <c r="D71" s="1" t="s">
        <v>30</v>
      </c>
      <c r="E71" s="1" t="s">
        <v>12</v>
      </c>
      <c r="F71" s="2" t="s">
        <v>3</v>
      </c>
      <c r="G71" s="132">
        <v>40</v>
      </c>
      <c r="H71" s="132">
        <v>3.68</v>
      </c>
      <c r="I71" s="132">
        <v>7.41</v>
      </c>
      <c r="J71" s="132">
        <v>11.28</v>
      </c>
      <c r="K71" s="132">
        <v>0.19</v>
      </c>
      <c r="L71" s="132">
        <v>16.22</v>
      </c>
      <c r="M71" s="132">
        <v>8.68</v>
      </c>
      <c r="N71" s="132">
        <v>1.87</v>
      </c>
      <c r="O71" s="132">
        <v>3.78</v>
      </c>
      <c r="P71" s="132">
        <v>0.75</v>
      </c>
      <c r="Q71" s="132">
        <v>3.81</v>
      </c>
      <c r="R71" s="14"/>
      <c r="S71" s="15">
        <f t="shared" si="134"/>
        <v>97.670000000000016</v>
      </c>
      <c r="U71" s="86">
        <v>0.70491599999999999</v>
      </c>
      <c r="V71" s="86">
        <v>0.51249800000000001</v>
      </c>
      <c r="W71" s="84"/>
      <c r="X71" s="84"/>
      <c r="Y71" s="84"/>
      <c r="Z71" s="131"/>
      <c r="AA71" s="131"/>
      <c r="AB71" s="14"/>
      <c r="AC71" s="14"/>
      <c r="AD71" s="14"/>
      <c r="AF71" s="19">
        <f t="shared" si="149"/>
        <v>0.77017445448346977</v>
      </c>
      <c r="AG71" s="20">
        <f t="shared" si="150"/>
        <v>22061.600000000002</v>
      </c>
      <c r="AH71" s="20">
        <f t="shared" si="135"/>
        <v>31381.559999999998</v>
      </c>
      <c r="AI71" s="20">
        <f t="shared" si="151"/>
        <v>3273</v>
      </c>
      <c r="AJ71" s="19">
        <f t="shared" si="136"/>
        <v>5.65</v>
      </c>
      <c r="AK71" s="19">
        <f t="shared" si="152"/>
        <v>2.0213903743315504</v>
      </c>
      <c r="AL71" s="19">
        <f t="shared" si="153"/>
        <v>0.49470899470899476</v>
      </c>
      <c r="AM71" s="19">
        <f t="shared" si="154"/>
        <v>1.1713900134952768</v>
      </c>
      <c r="AN71" s="19">
        <f t="shared" si="155"/>
        <v>0.51012145748987847</v>
      </c>
      <c r="AO71" s="19">
        <f t="shared" si="156"/>
        <v>0.96729096234794709</v>
      </c>
      <c r="AP71" s="19">
        <f t="shared" si="157"/>
        <v>1.0338150969307693</v>
      </c>
      <c r="AQ71" s="19">
        <f t="shared" si="158"/>
        <v>0.32289155524141178</v>
      </c>
      <c r="AR71" s="19">
        <f t="shared" si="159"/>
        <v>0.96729096234794709</v>
      </c>
      <c r="AS71" s="118">
        <f t="shared" si="160"/>
        <v>940.89850050480788</v>
      </c>
      <c r="AT71" s="118">
        <f t="shared" si="161"/>
        <v>2001.9041349509491</v>
      </c>
      <c r="AU71" s="14">
        <f t="shared" si="162"/>
        <v>9.4500000000000001E-2</v>
      </c>
      <c r="AV71" s="14">
        <f t="shared" si="163"/>
        <v>0.55214420175868373</v>
      </c>
      <c r="AX71" s="118"/>
      <c r="AY71" s="118"/>
      <c r="AZ71" s="133">
        <v>1741</v>
      </c>
      <c r="BA71" s="134">
        <v>1</v>
      </c>
      <c r="BB71" s="133">
        <v>11</v>
      </c>
      <c r="BC71" s="133">
        <v>170</v>
      </c>
      <c r="BD71" s="133">
        <v>974</v>
      </c>
      <c r="BE71" s="133">
        <v>66</v>
      </c>
      <c r="BF71" s="133">
        <v>481</v>
      </c>
      <c r="BG71" s="133">
        <v>126</v>
      </c>
      <c r="BH71" s="133">
        <v>610</v>
      </c>
      <c r="BI71" s="133">
        <v>15</v>
      </c>
      <c r="BJ71" s="133">
        <v>322</v>
      </c>
      <c r="BK71" s="133">
        <v>236</v>
      </c>
      <c r="BL71" s="134"/>
      <c r="BM71" s="134">
        <v>13</v>
      </c>
      <c r="BN71" s="134">
        <v>169</v>
      </c>
      <c r="BO71" s="134">
        <v>286</v>
      </c>
      <c r="BP71" s="134">
        <v>36</v>
      </c>
      <c r="BQ71" s="117"/>
      <c r="BR71" s="14"/>
      <c r="BS71" s="135">
        <v>3.8</v>
      </c>
      <c r="BT71" s="134">
        <v>9.1</v>
      </c>
      <c r="BU71" s="135">
        <v>0.89</v>
      </c>
      <c r="BV71" s="135">
        <v>3.6</v>
      </c>
      <c r="BW71" s="135">
        <v>0.54</v>
      </c>
      <c r="BX71" s="135">
        <v>1.18</v>
      </c>
      <c r="BY71" s="135">
        <v>0.16</v>
      </c>
      <c r="BZ71" s="135">
        <v>0.96</v>
      </c>
      <c r="CA71" s="14"/>
      <c r="CB71" s="134">
        <v>7.3</v>
      </c>
      <c r="CC71" s="134">
        <v>17</v>
      </c>
      <c r="CD71" s="133">
        <v>5</v>
      </c>
      <c r="CE71" s="133">
        <v>14</v>
      </c>
      <c r="CG71" s="22">
        <f t="shared" si="164"/>
        <v>698.34710743801656</v>
      </c>
      <c r="CH71" s="22">
        <f t="shared" si="165"/>
        <v>450.39370078740154</v>
      </c>
      <c r="CI71" s="22">
        <f t="shared" si="166"/>
        <v>373.8317757009346</v>
      </c>
      <c r="CJ71" s="22"/>
      <c r="CK71" s="22"/>
      <c r="CL71" s="22">
        <f t="shared" si="167"/>
        <v>64.297800338409473</v>
      </c>
      <c r="CM71" s="22">
        <f t="shared" si="168"/>
        <v>42.924528301886795</v>
      </c>
      <c r="CN71" s="22">
        <f t="shared" si="169"/>
        <v>23.670212765957448</v>
      </c>
      <c r="CO71" s="22">
        <f t="shared" si="170"/>
        <v>13.8996138996139</v>
      </c>
      <c r="CP71" s="22">
        <f t="shared" si="171"/>
        <v>9.2307692307692317</v>
      </c>
      <c r="CQ71" s="22">
        <f t="shared" si="172"/>
        <v>7.2392638036809807</v>
      </c>
      <c r="CR71" s="22">
        <f t="shared" si="173"/>
        <v>6.25</v>
      </c>
      <c r="CS71" s="22">
        <f t="shared" si="174"/>
        <v>5.783132530120481</v>
      </c>
      <c r="CT71" s="22">
        <f>CA71/0.025</f>
        <v>0</v>
      </c>
      <c r="CU71" s="22">
        <f t="shared" si="175"/>
        <v>7.3771186440677967</v>
      </c>
      <c r="CV71" s="117">
        <f t="shared" si="176"/>
        <v>10.301775147928995</v>
      </c>
      <c r="CW71" s="22">
        <f t="shared" si="138"/>
        <v>0.71610169491525422</v>
      </c>
      <c r="CX71" s="20">
        <f t="shared" si="177"/>
        <v>93.4813559322034</v>
      </c>
      <c r="CY71" s="22">
        <f t="shared" si="178"/>
        <v>39.178082191780824</v>
      </c>
      <c r="CZ71" s="22">
        <f t="shared" si="179"/>
        <v>47.2</v>
      </c>
      <c r="DA71" s="22"/>
      <c r="DB71" s="22">
        <f t="shared" si="139"/>
        <v>1.3644067796610169</v>
      </c>
      <c r="DC71" s="22">
        <f t="shared" si="180"/>
        <v>102.41176470588235</v>
      </c>
      <c r="DD71" s="22">
        <f t="shared" si="140"/>
        <v>1.3076923076923077</v>
      </c>
      <c r="DE71" s="22">
        <f t="shared" si="141"/>
        <v>13.541666666666668</v>
      </c>
      <c r="DF71" s="22">
        <f t="shared" si="142"/>
        <v>17.708333333333336</v>
      </c>
      <c r="DG71" s="19">
        <f t="shared" si="181"/>
        <v>15.733333333333333</v>
      </c>
      <c r="DH71" s="20">
        <f t="shared" si="143"/>
        <v>185.68970414201183</v>
      </c>
      <c r="DI71" s="19">
        <f t="shared" si="182"/>
        <v>2.3335206471201411</v>
      </c>
      <c r="DJ71" s="22"/>
      <c r="DK71" s="22"/>
      <c r="DL71" s="22"/>
      <c r="DM71" s="22">
        <f t="shared" si="144"/>
        <v>176.04166666666669</v>
      </c>
      <c r="DN71" s="22">
        <f t="shared" si="198"/>
        <v>0</v>
      </c>
      <c r="DO71" s="22"/>
      <c r="DP71" s="20"/>
      <c r="DQ71" s="22"/>
      <c r="DR71" s="22"/>
      <c r="DS71" s="19"/>
      <c r="DT71" s="23"/>
      <c r="DU71" s="22">
        <f t="shared" si="183"/>
        <v>21.466666666666665</v>
      </c>
      <c r="DV71" s="22">
        <f t="shared" si="145"/>
        <v>18.153846153846153</v>
      </c>
      <c r="DW71" s="22">
        <f t="shared" si="184"/>
        <v>0.37983268764533795</v>
      </c>
      <c r="DX71" s="22">
        <f t="shared" si="146"/>
        <v>73.291925465838503</v>
      </c>
      <c r="DY71" s="22">
        <f t="shared" si="147"/>
        <v>5.2795031055900621</v>
      </c>
      <c r="DZ71" s="19"/>
      <c r="EA71" s="23">
        <f t="shared" si="185"/>
        <v>5.9171597633136093E-3</v>
      </c>
      <c r="EB71" s="19">
        <f t="shared" si="148"/>
        <v>7.2033898305084748E-2</v>
      </c>
      <c r="EC71" s="19">
        <f t="shared" si="186"/>
        <v>0.12354526557270962</v>
      </c>
      <c r="EE71" s="19">
        <f t="shared" si="187"/>
        <v>42.616663115278065</v>
      </c>
      <c r="EF71" s="19">
        <f t="shared" si="188"/>
        <v>3.9207330066055821</v>
      </c>
      <c r="EG71" s="19">
        <f t="shared" si="189"/>
        <v>7.8947368421052619</v>
      </c>
      <c r="EH71" s="19">
        <f t="shared" si="190"/>
        <v>12.017898998508414</v>
      </c>
      <c r="EI71" s="19">
        <f t="shared" si="191"/>
        <v>0.20242914979757082</v>
      </c>
      <c r="EJ71" s="19">
        <f t="shared" si="192"/>
        <v>17.281056893245257</v>
      </c>
      <c r="EK71" s="19">
        <f t="shared" si="193"/>
        <v>9.2478158960153412</v>
      </c>
      <c r="EL71" s="19">
        <f t="shared" si="194"/>
        <v>1.9923290006392496</v>
      </c>
      <c r="EM71" s="19">
        <f t="shared" si="195"/>
        <v>4.0272746643937776</v>
      </c>
      <c r="EN71" s="19">
        <f t="shared" si="196"/>
        <v>0.79906243341146377</v>
      </c>
      <c r="EO71" s="19">
        <f t="shared" si="197"/>
        <v>99.999999999999972</v>
      </c>
      <c r="EP71" s="14"/>
    </row>
    <row r="72" spans="1:152">
      <c r="A72" s="1" t="s">
        <v>7</v>
      </c>
      <c r="B72" s="36" t="s">
        <v>34</v>
      </c>
      <c r="C72" s="36">
        <v>2</v>
      </c>
      <c r="D72" s="1" t="s">
        <v>30</v>
      </c>
      <c r="E72" s="1" t="s">
        <v>22</v>
      </c>
      <c r="F72" s="2" t="s">
        <v>3</v>
      </c>
      <c r="G72" s="14">
        <v>41.06</v>
      </c>
      <c r="H72" s="14">
        <v>3.94</v>
      </c>
      <c r="I72" s="14">
        <v>11</v>
      </c>
      <c r="J72" s="14">
        <v>4</v>
      </c>
      <c r="K72" s="14">
        <v>0.14000000000000001</v>
      </c>
      <c r="L72" s="14">
        <v>22.55</v>
      </c>
      <c r="M72" s="14">
        <v>8.2899999999999991</v>
      </c>
      <c r="N72" s="14">
        <v>0.9</v>
      </c>
      <c r="O72" s="14">
        <v>2.91</v>
      </c>
      <c r="P72" s="14">
        <v>0.28999999999999998</v>
      </c>
      <c r="Q72" s="14">
        <v>2.5499999999999998</v>
      </c>
      <c r="R72" s="14"/>
      <c r="S72" s="15">
        <f t="shared" si="134"/>
        <v>97.63</v>
      </c>
      <c r="U72" s="86">
        <v>0.70493700000000004</v>
      </c>
      <c r="V72" s="86">
        <v>0.51251100000000005</v>
      </c>
      <c r="W72" s="84"/>
      <c r="X72" s="84"/>
      <c r="Y72" s="84"/>
      <c r="Z72" s="131"/>
      <c r="AA72" s="131"/>
      <c r="AB72" s="14"/>
      <c r="AC72" s="14"/>
      <c r="AD72" s="14"/>
      <c r="AF72" s="19">
        <f t="shared" si="149"/>
        <v>0.92926959982942259</v>
      </c>
      <c r="AG72" s="20">
        <f t="shared" si="150"/>
        <v>23620.3</v>
      </c>
      <c r="AH72" s="20">
        <f t="shared" si="135"/>
        <v>24158.82</v>
      </c>
      <c r="AI72" s="20">
        <f t="shared" si="151"/>
        <v>1265.56</v>
      </c>
      <c r="AJ72" s="19">
        <f t="shared" si="136"/>
        <v>3.81</v>
      </c>
      <c r="AK72" s="19">
        <f t="shared" si="152"/>
        <v>3.2333333333333334</v>
      </c>
      <c r="AL72" s="19">
        <f t="shared" si="153"/>
        <v>0.30927835051546393</v>
      </c>
      <c r="AM72" s="19">
        <f t="shared" si="154"/>
        <v>0.75363636363636355</v>
      </c>
      <c r="AN72" s="19">
        <f t="shared" si="155"/>
        <v>0.26454545454545458</v>
      </c>
      <c r="AO72" s="19">
        <f t="shared" si="156"/>
        <v>0.42093289596191907</v>
      </c>
      <c r="AP72" s="19">
        <f t="shared" si="157"/>
        <v>2.3756755758297112</v>
      </c>
      <c r="AQ72" s="19">
        <f t="shared" si="158"/>
        <v>0.5583061555969796</v>
      </c>
      <c r="AR72" s="19">
        <f t="shared" si="159"/>
        <v>0.42093289596191907</v>
      </c>
      <c r="AS72" s="118">
        <f t="shared" si="160"/>
        <v>1667.9168124997416</v>
      </c>
      <c r="AT72" s="118">
        <f t="shared" si="161"/>
        <v>2336.7951288986142</v>
      </c>
      <c r="AU72" s="14">
        <f t="shared" si="162"/>
        <v>7.0871894788114953E-2</v>
      </c>
      <c r="AV72" s="14">
        <f t="shared" si="163"/>
        <v>0.28633815865662998</v>
      </c>
      <c r="AX72" s="118">
        <v>162.9</v>
      </c>
      <c r="AY72" s="118">
        <v>2023.65</v>
      </c>
      <c r="AZ72" s="118">
        <v>1369.98</v>
      </c>
      <c r="BA72" s="117">
        <v>0.9</v>
      </c>
      <c r="BB72" s="118">
        <v>18.489999999999998</v>
      </c>
      <c r="BC72" s="118">
        <v>137.02000000000001</v>
      </c>
      <c r="BD72" s="118">
        <v>861.24</v>
      </c>
      <c r="BE72" s="118">
        <v>79.010000000000005</v>
      </c>
      <c r="BF72" s="118">
        <v>969.33</v>
      </c>
      <c r="BG72" s="118">
        <v>84.36</v>
      </c>
      <c r="BH72" s="118">
        <v>115.59</v>
      </c>
      <c r="BI72" s="118">
        <v>8.4700000000000006</v>
      </c>
      <c r="BJ72" s="118">
        <v>159.80000000000001</v>
      </c>
      <c r="BK72" s="118">
        <v>117.87</v>
      </c>
      <c r="BL72" s="117">
        <v>4.12</v>
      </c>
      <c r="BM72" s="117">
        <v>7.11</v>
      </c>
      <c r="BN72" s="117">
        <v>84.88</v>
      </c>
      <c r="BO72" s="117">
        <v>160.71</v>
      </c>
      <c r="BP72" s="117">
        <v>18.93</v>
      </c>
      <c r="BQ72" s="117">
        <v>67.150000000000006</v>
      </c>
      <c r="BR72" s="14">
        <v>8.3000000000000007</v>
      </c>
      <c r="BS72" s="14">
        <v>2.29</v>
      </c>
      <c r="BT72" s="117">
        <v>5.24</v>
      </c>
      <c r="BU72" s="14">
        <v>0.5</v>
      </c>
      <c r="BV72" s="14">
        <v>1.94</v>
      </c>
      <c r="BW72" s="14">
        <v>0.3</v>
      </c>
      <c r="BX72" s="14">
        <v>0.66</v>
      </c>
      <c r="BY72" s="14">
        <v>0.1</v>
      </c>
      <c r="BZ72" s="14">
        <v>0.55000000000000004</v>
      </c>
      <c r="CA72" s="14">
        <v>0.08</v>
      </c>
      <c r="CB72" s="117">
        <v>3.32</v>
      </c>
      <c r="CC72" s="117">
        <v>10.6</v>
      </c>
      <c r="CD72" s="118">
        <v>2.37</v>
      </c>
      <c r="CE72" s="118">
        <v>9.84</v>
      </c>
      <c r="CG72" s="22">
        <f t="shared" si="164"/>
        <v>350.74380165289256</v>
      </c>
      <c r="CH72" s="22">
        <f t="shared" si="165"/>
        <v>253.08661417322836</v>
      </c>
      <c r="CI72" s="22">
        <f t="shared" si="166"/>
        <v>196.57320872274144</v>
      </c>
      <c r="CJ72" s="22">
        <f>BQ72/0.48</f>
        <v>139.89583333333334</v>
      </c>
      <c r="CK72" s="22">
        <f>BR72/0.156</f>
        <v>53.205128205128212</v>
      </c>
      <c r="CL72" s="22">
        <f t="shared" si="167"/>
        <v>38.747884940778341</v>
      </c>
      <c r="CM72" s="22">
        <f t="shared" si="168"/>
        <v>24.716981132075475</v>
      </c>
      <c r="CN72" s="22">
        <f t="shared" si="169"/>
        <v>13.297872340425531</v>
      </c>
      <c r="CO72" s="22">
        <f t="shared" si="170"/>
        <v>7.4903474903474896</v>
      </c>
      <c r="CP72" s="22">
        <f t="shared" si="171"/>
        <v>5.1282051282051277</v>
      </c>
      <c r="CQ72" s="22">
        <f t="shared" si="172"/>
        <v>4.0490797546012267</v>
      </c>
      <c r="CR72" s="22">
        <f t="shared" si="173"/>
        <v>3.90625</v>
      </c>
      <c r="CS72" s="22">
        <f t="shared" si="174"/>
        <v>3.3132530120481927</v>
      </c>
      <c r="CT72" s="22">
        <f>CA72/0.025</f>
        <v>3.1999999999999997</v>
      </c>
      <c r="CU72" s="22">
        <f t="shared" si="175"/>
        <v>11.622804784932553</v>
      </c>
      <c r="CV72" s="117">
        <f t="shared" si="176"/>
        <v>16.140197926484451</v>
      </c>
      <c r="CW72" s="22">
        <f t="shared" si="138"/>
        <v>0.72011538135233721</v>
      </c>
      <c r="CX72" s="20">
        <f t="shared" si="177"/>
        <v>200.39280563332483</v>
      </c>
      <c r="CY72" s="22">
        <f t="shared" si="178"/>
        <v>48.406626506024104</v>
      </c>
      <c r="CZ72" s="22">
        <f t="shared" si="179"/>
        <v>49.734177215189874</v>
      </c>
      <c r="DA72" s="22">
        <f>AX72/BR72</f>
        <v>19.626506024096386</v>
      </c>
      <c r="DB72" s="22">
        <f t="shared" si="139"/>
        <v>1.3557308899635192</v>
      </c>
      <c r="DC72" s="22">
        <f t="shared" si="180"/>
        <v>129.24339622641509</v>
      </c>
      <c r="DD72" s="22">
        <f t="shared" si="140"/>
        <v>1.4908579465541489</v>
      </c>
      <c r="DE72" s="22">
        <f t="shared" si="141"/>
        <v>12.927272727272728</v>
      </c>
      <c r="DF72" s="22">
        <f t="shared" si="142"/>
        <v>19.27272727272727</v>
      </c>
      <c r="DG72" s="19">
        <f t="shared" si="181"/>
        <v>13.916174734356552</v>
      </c>
      <c r="DH72" s="20">
        <f t="shared" si="143"/>
        <v>284.62323279924601</v>
      </c>
      <c r="DI72" s="19">
        <f t="shared" si="182"/>
        <v>1.9293595232110627</v>
      </c>
      <c r="DJ72" s="22">
        <f>BN72/CA72</f>
        <v>1061</v>
      </c>
      <c r="DK72" s="22">
        <f>CG72/CT72</f>
        <v>109.60743801652893</v>
      </c>
      <c r="DL72" s="22">
        <f>CG72/CK72</f>
        <v>6.5922931395001481</v>
      </c>
      <c r="DM72" s="22">
        <f t="shared" si="144"/>
        <v>154.32727272727271</v>
      </c>
      <c r="DN72" s="22">
        <f t="shared" si="198"/>
        <v>15.090909090909092</v>
      </c>
      <c r="DO72" s="22">
        <f>BL72/BQ72</f>
        <v>6.1355174981384958E-2</v>
      </c>
      <c r="DP72" s="20">
        <f>AY72/BZ72</f>
        <v>3679.363636363636</v>
      </c>
      <c r="DQ72" s="22">
        <f>AY72/BQ72</f>
        <v>30.136262099776619</v>
      </c>
      <c r="DR72" s="22">
        <f>AY72/(((BR72/0.195)*(BT72/0.259))^0.5)</f>
        <v>68.960102666293636</v>
      </c>
      <c r="DS72" s="19">
        <f>(BS72/0.074)/(((BR72/0.195)*(BT72/0.259))^0.5)</f>
        <v>1.0545477773024019</v>
      </c>
      <c r="DT72" s="23">
        <f>1/AY72</f>
        <v>4.941565982259778E-4</v>
      </c>
      <c r="DU72" s="22">
        <f t="shared" si="183"/>
        <v>18.86658795749705</v>
      </c>
      <c r="DV72" s="22">
        <f t="shared" si="145"/>
        <v>16.578059071729957</v>
      </c>
      <c r="DW72" s="22">
        <f t="shared" si="184"/>
        <v>0.43418861307801171</v>
      </c>
      <c r="DX72" s="22">
        <f t="shared" si="146"/>
        <v>73.760951188986226</v>
      </c>
      <c r="DY72" s="22">
        <f t="shared" si="147"/>
        <v>6.6332916145181473</v>
      </c>
      <c r="DZ72" s="19">
        <f>EK72*100/AY72</f>
        <v>0.43085382828074836</v>
      </c>
      <c r="EA72" s="23">
        <f t="shared" si="185"/>
        <v>1.0603204524033931E-2</v>
      </c>
      <c r="EB72" s="19">
        <f t="shared" si="148"/>
        <v>8.9929583439382357E-2</v>
      </c>
      <c r="EC72" s="19">
        <f t="shared" si="186"/>
        <v>0.1033662688973576</v>
      </c>
      <c r="EE72" s="19">
        <f t="shared" si="187"/>
        <v>43.184686579722339</v>
      </c>
      <c r="EF72" s="19">
        <f t="shared" si="188"/>
        <v>4.1438788388725287</v>
      </c>
      <c r="EG72" s="19">
        <f t="shared" si="189"/>
        <v>11.569204880100967</v>
      </c>
      <c r="EH72" s="19">
        <f t="shared" si="190"/>
        <v>4.2069835927639883</v>
      </c>
      <c r="EI72" s="19">
        <f t="shared" si="191"/>
        <v>0.1472444257467396</v>
      </c>
      <c r="EJ72" s="19">
        <f t="shared" si="192"/>
        <v>23.716870004206985</v>
      </c>
      <c r="EK72" s="19">
        <f t="shared" si="193"/>
        <v>8.7189734960033647</v>
      </c>
      <c r="EL72" s="19">
        <f t="shared" si="194"/>
        <v>0.9465713083718974</v>
      </c>
      <c r="EM72" s="19">
        <f t="shared" si="195"/>
        <v>3.0605805637358015</v>
      </c>
      <c r="EN72" s="19">
        <f t="shared" si="196"/>
        <v>0.30500631047538912</v>
      </c>
      <c r="EO72" s="19">
        <f t="shared" si="197"/>
        <v>100</v>
      </c>
      <c r="EP72" s="14"/>
    </row>
    <row r="73" spans="1:152">
      <c r="A73" s="1" t="s">
        <v>7</v>
      </c>
      <c r="B73" s="36" t="s">
        <v>34</v>
      </c>
      <c r="C73" s="36">
        <v>2</v>
      </c>
      <c r="D73" s="1" t="s">
        <v>30</v>
      </c>
      <c r="E73" s="1" t="s">
        <v>22</v>
      </c>
      <c r="F73" s="2" t="s">
        <v>3</v>
      </c>
      <c r="G73" s="14">
        <v>41.84</v>
      </c>
      <c r="H73" s="14">
        <v>4.0999999999999996</v>
      </c>
      <c r="I73" s="14">
        <v>6.26</v>
      </c>
      <c r="J73" s="14">
        <v>11.93</v>
      </c>
      <c r="K73" s="14">
        <v>0.14000000000000001</v>
      </c>
      <c r="L73" s="14">
        <v>20.89</v>
      </c>
      <c r="M73" s="14">
        <v>7.36</v>
      </c>
      <c r="N73" s="14">
        <v>0.77</v>
      </c>
      <c r="O73" s="14">
        <v>5.01</v>
      </c>
      <c r="P73" s="14">
        <v>0.31</v>
      </c>
      <c r="Q73" s="14">
        <v>0.13</v>
      </c>
      <c r="R73" s="14"/>
      <c r="S73" s="15">
        <f t="shared" si="134"/>
        <v>98.74</v>
      </c>
      <c r="U73" s="86"/>
      <c r="V73" s="86"/>
      <c r="W73" s="84"/>
      <c r="X73" s="84"/>
      <c r="Y73" s="84"/>
      <c r="Z73" s="131"/>
      <c r="AA73" s="131"/>
      <c r="AB73" s="14"/>
      <c r="AC73" s="14"/>
      <c r="AD73" s="14"/>
      <c r="AF73" s="19">
        <f t="shared" si="149"/>
        <v>0.80318123685650999</v>
      </c>
      <c r="AG73" s="20">
        <f t="shared" si="150"/>
        <v>24579.499999999996</v>
      </c>
      <c r="AH73" s="20">
        <f t="shared" si="135"/>
        <v>41593.019999999997</v>
      </c>
      <c r="AI73" s="20">
        <f t="shared" si="151"/>
        <v>1352.84</v>
      </c>
      <c r="AJ73" s="19">
        <f t="shared" si="136"/>
        <v>5.7799999999999994</v>
      </c>
      <c r="AK73" s="19">
        <f t="shared" si="152"/>
        <v>6.5064935064935057</v>
      </c>
      <c r="AL73" s="19">
        <f t="shared" si="153"/>
        <v>0.15369261477045909</v>
      </c>
      <c r="AM73" s="19">
        <f t="shared" si="154"/>
        <v>1.1757188498402555</v>
      </c>
      <c r="AN73" s="19">
        <f t="shared" si="155"/>
        <v>0.80031948881789139</v>
      </c>
      <c r="AO73" s="19">
        <f t="shared" si="156"/>
        <v>1.0685941539212565</v>
      </c>
      <c r="AP73" s="19">
        <f t="shared" si="157"/>
        <v>0.93580897511974315</v>
      </c>
      <c r="AQ73" s="19">
        <f t="shared" si="158"/>
        <v>0.31189681558214288</v>
      </c>
      <c r="AR73" s="19">
        <f t="shared" si="159"/>
        <v>1.0685941539212565</v>
      </c>
      <c r="AS73" s="118">
        <f t="shared" si="160"/>
        <v>1105.5270091647519</v>
      </c>
      <c r="AT73" s="118">
        <f t="shared" si="161"/>
        <v>1974.4086025813585</v>
      </c>
      <c r="AU73" s="14">
        <f t="shared" si="162"/>
        <v>0.11974187380497131</v>
      </c>
      <c r="AV73" s="14">
        <f t="shared" si="163"/>
        <v>0.8662481430984309</v>
      </c>
      <c r="AX73" s="118">
        <v>192.27</v>
      </c>
      <c r="AY73" s="118">
        <v>803.02</v>
      </c>
      <c r="AZ73" s="118">
        <v>1138.4000000000001</v>
      </c>
      <c r="BA73" s="117">
        <v>0.6</v>
      </c>
      <c r="BB73" s="118">
        <v>21.94</v>
      </c>
      <c r="BC73" s="118">
        <v>187.73</v>
      </c>
      <c r="BD73" s="118">
        <v>1559.71</v>
      </c>
      <c r="BE73" s="118">
        <v>103.56</v>
      </c>
      <c r="BF73" s="118">
        <v>1065.97</v>
      </c>
      <c r="BG73" s="118">
        <v>107.02</v>
      </c>
      <c r="BH73" s="118">
        <v>127.3</v>
      </c>
      <c r="BI73" s="118">
        <v>9.3800000000000008</v>
      </c>
      <c r="BJ73" s="118">
        <v>163.01</v>
      </c>
      <c r="BK73" s="118">
        <v>126.29</v>
      </c>
      <c r="BL73" s="117">
        <v>4.4000000000000004</v>
      </c>
      <c r="BM73" s="117">
        <v>8.5</v>
      </c>
      <c r="BN73" s="117">
        <v>80.73</v>
      </c>
      <c r="BO73" s="117">
        <v>152.35</v>
      </c>
      <c r="BP73" s="117">
        <v>17.89</v>
      </c>
      <c r="BQ73" s="117">
        <v>63.87</v>
      </c>
      <c r="BR73" s="14">
        <v>8.2100000000000009</v>
      </c>
      <c r="BS73" s="14">
        <v>2.2400000000000002</v>
      </c>
      <c r="BT73" s="117">
        <v>5.32</v>
      </c>
      <c r="BU73" s="14">
        <v>0.53</v>
      </c>
      <c r="BV73" s="14">
        <v>2.2000000000000002</v>
      </c>
      <c r="BW73" s="14">
        <v>0.35</v>
      </c>
      <c r="BX73" s="14">
        <v>0.76</v>
      </c>
      <c r="BY73" s="14">
        <v>0.11</v>
      </c>
      <c r="BZ73" s="14">
        <v>0.62</v>
      </c>
      <c r="CA73" s="14">
        <v>0.09</v>
      </c>
      <c r="CB73" s="117">
        <v>3.89</v>
      </c>
      <c r="CC73" s="117">
        <v>10.79</v>
      </c>
      <c r="CD73" s="118">
        <v>2.35</v>
      </c>
      <c r="CE73" s="118">
        <v>12.6</v>
      </c>
      <c r="CG73" s="22">
        <f t="shared" si="164"/>
        <v>333.5950413223141</v>
      </c>
      <c r="CH73" s="22">
        <f t="shared" si="165"/>
        <v>239.92125984251967</v>
      </c>
      <c r="CI73" s="22">
        <f t="shared" si="166"/>
        <v>185.77362409138112</v>
      </c>
      <c r="CJ73" s="22">
        <f>BQ73/0.48</f>
        <v>133.0625</v>
      </c>
      <c r="CK73" s="22">
        <f>BR73/0.156</f>
        <v>52.628205128205131</v>
      </c>
      <c r="CL73" s="22">
        <f t="shared" si="167"/>
        <v>37.901861252115062</v>
      </c>
      <c r="CM73" s="22">
        <f t="shared" si="168"/>
        <v>25.094339622641513</v>
      </c>
      <c r="CN73" s="22">
        <f t="shared" si="169"/>
        <v>14.095744680851064</v>
      </c>
      <c r="CO73" s="22">
        <f t="shared" si="170"/>
        <v>8.494208494208495</v>
      </c>
      <c r="CP73" s="22">
        <f t="shared" si="171"/>
        <v>5.9829059829059821</v>
      </c>
      <c r="CQ73" s="22">
        <f t="shared" si="172"/>
        <v>4.6625766871165641</v>
      </c>
      <c r="CR73" s="22">
        <f t="shared" si="173"/>
        <v>4.296875</v>
      </c>
      <c r="CS73" s="22">
        <f t="shared" si="174"/>
        <v>3.7349397590361444</v>
      </c>
      <c r="CT73" s="22">
        <f>CA73/0.025</f>
        <v>3.5999999999999996</v>
      </c>
      <c r="CU73" s="22">
        <f t="shared" si="175"/>
        <v>9.0141737271359563</v>
      </c>
      <c r="CV73" s="117">
        <f t="shared" si="176"/>
        <v>14.101325405673233</v>
      </c>
      <c r="CW73" s="22">
        <f t="shared" si="138"/>
        <v>0.63924301211497347</v>
      </c>
      <c r="CX73" s="20">
        <f t="shared" si="177"/>
        <v>194.62744476997383</v>
      </c>
      <c r="CY73" s="22">
        <f t="shared" si="178"/>
        <v>39.164524421593825</v>
      </c>
      <c r="CZ73" s="22">
        <f t="shared" si="179"/>
        <v>53.740425531914894</v>
      </c>
      <c r="DA73" s="22">
        <f>AX73/BR73</f>
        <v>23.419001218026796</v>
      </c>
      <c r="DB73" s="22">
        <f t="shared" si="139"/>
        <v>1.2907593633700212</v>
      </c>
      <c r="DC73" s="22">
        <f t="shared" si="180"/>
        <v>105.50509731232624</v>
      </c>
      <c r="DD73" s="22">
        <f t="shared" si="140"/>
        <v>1.2694117647058822</v>
      </c>
      <c r="DE73" s="22">
        <f t="shared" si="141"/>
        <v>13.709677419354838</v>
      </c>
      <c r="DF73" s="22">
        <f t="shared" si="142"/>
        <v>17.403225806451612</v>
      </c>
      <c r="DG73" s="19">
        <f t="shared" si="181"/>
        <v>13.463752665245202</v>
      </c>
      <c r="DH73" s="20">
        <f t="shared" si="143"/>
        <v>515.21144555927162</v>
      </c>
      <c r="DI73" s="19">
        <f t="shared" si="182"/>
        <v>1.5821465778177117</v>
      </c>
      <c r="DJ73" s="22">
        <f>BN73/CA73</f>
        <v>897.00000000000011</v>
      </c>
      <c r="DK73" s="22">
        <f>CG73/CT73</f>
        <v>92.665289256198378</v>
      </c>
      <c r="DL73" s="22">
        <f>CG73/CK73</f>
        <v>6.3387121128235071</v>
      </c>
      <c r="DM73" s="22">
        <f t="shared" si="144"/>
        <v>130.20967741935485</v>
      </c>
      <c r="DN73" s="22">
        <f t="shared" si="198"/>
        <v>13.24193548387097</v>
      </c>
      <c r="DO73" s="22">
        <f>BL73/BQ73</f>
        <v>6.8889932675747625E-2</v>
      </c>
      <c r="DP73" s="20">
        <f>AY73/BZ73</f>
        <v>1295.1935483870968</v>
      </c>
      <c r="DQ73" s="22">
        <f>AY73/BQ73</f>
        <v>12.572725849381557</v>
      </c>
      <c r="DR73" s="22">
        <f>AY73/(((BR73/0.195)*(BT73/0.259))^0.5)</f>
        <v>27.306507342406732</v>
      </c>
      <c r="DS73" s="19">
        <f>(BS73/0.074)/(((BR73/0.195)*(BT73/0.259))^0.5)</f>
        <v>1.029333462917202</v>
      </c>
      <c r="DT73" s="23">
        <f>1/AY73</f>
        <v>1.2452989962890091E-3</v>
      </c>
      <c r="DU73" s="22">
        <f t="shared" si="183"/>
        <v>17.378464818763323</v>
      </c>
      <c r="DV73" s="22">
        <f t="shared" si="145"/>
        <v>14.857647058823531</v>
      </c>
      <c r="DW73" s="22">
        <f t="shared" si="184"/>
        <v>0.48834421951170359</v>
      </c>
      <c r="DX73" s="22">
        <f t="shared" si="146"/>
        <v>77.473774615054296</v>
      </c>
      <c r="DY73" s="22">
        <f t="shared" si="147"/>
        <v>6.6192258143672174</v>
      </c>
      <c r="DZ73" s="19">
        <f>EK73*100/AY73</f>
        <v>0.92945954899980787</v>
      </c>
      <c r="EA73" s="23">
        <f t="shared" si="185"/>
        <v>7.4321813452248231E-3</v>
      </c>
      <c r="EB73" s="19">
        <f t="shared" si="148"/>
        <v>8.543827698155039E-2</v>
      </c>
      <c r="EC73" s="19">
        <f t="shared" si="186"/>
        <v>0.12795601786069619</v>
      </c>
      <c r="EE73" s="19">
        <f t="shared" si="187"/>
        <v>42.429773856606836</v>
      </c>
      <c r="EF73" s="19">
        <f t="shared" si="188"/>
        <v>4.1577933272487568</v>
      </c>
      <c r="EG73" s="19">
        <f t="shared" si="189"/>
        <v>6.3482405435554208</v>
      </c>
      <c r="EH73" s="19">
        <f t="shared" si="190"/>
        <v>12.09816448636041</v>
      </c>
      <c r="EI73" s="19">
        <f t="shared" si="191"/>
        <v>0.14197343068654297</v>
      </c>
      <c r="EJ73" s="19">
        <f t="shared" si="192"/>
        <v>21.184464050299159</v>
      </c>
      <c r="EK73" s="19">
        <f t="shared" si="193"/>
        <v>7.4637460703782574</v>
      </c>
      <c r="EL73" s="19">
        <f t="shared" si="194"/>
        <v>0.78085386877598617</v>
      </c>
      <c r="EM73" s="19">
        <f t="shared" si="195"/>
        <v>5.080620626711287</v>
      </c>
      <c r="EN73" s="19">
        <f t="shared" si="196"/>
        <v>0.31436973937734508</v>
      </c>
      <c r="EO73" s="19">
        <f t="shared" si="197"/>
        <v>100.00000000000001</v>
      </c>
      <c r="EP73" s="14"/>
    </row>
    <row r="74" spans="1:152">
      <c r="A74" s="1" t="s">
        <v>7</v>
      </c>
      <c r="B74" s="1" t="s">
        <v>33</v>
      </c>
      <c r="C74" s="1">
        <v>2</v>
      </c>
      <c r="D74" s="1" t="s">
        <v>30</v>
      </c>
      <c r="E74" s="1" t="s">
        <v>22</v>
      </c>
      <c r="F74" s="2" t="s">
        <v>3</v>
      </c>
      <c r="G74" s="132">
        <v>40.75</v>
      </c>
      <c r="H74" s="132">
        <v>5.21</v>
      </c>
      <c r="I74" s="132">
        <v>7.22</v>
      </c>
      <c r="J74" s="132">
        <v>11.15</v>
      </c>
      <c r="K74" s="132">
        <v>0.14000000000000001</v>
      </c>
      <c r="L74" s="132">
        <v>16.77</v>
      </c>
      <c r="M74" s="132">
        <v>9.19</v>
      </c>
      <c r="N74" s="132">
        <v>0.82</v>
      </c>
      <c r="O74" s="132">
        <v>5.15</v>
      </c>
      <c r="P74" s="132">
        <v>0.22</v>
      </c>
      <c r="Q74" s="132">
        <v>2.5299999999999998</v>
      </c>
      <c r="R74" s="14"/>
      <c r="S74" s="15">
        <f t="shared" si="134"/>
        <v>99.149999999999991</v>
      </c>
      <c r="U74" s="86">
        <v>0.70520799999999995</v>
      </c>
      <c r="V74" s="86">
        <v>0.512486</v>
      </c>
      <c r="W74" s="84"/>
      <c r="X74" s="84"/>
      <c r="Y74" s="84"/>
      <c r="Z74" s="131"/>
      <c r="AA74" s="131"/>
      <c r="AB74" s="14"/>
      <c r="AC74" s="14"/>
      <c r="AD74" s="14"/>
      <c r="AF74" s="19">
        <f t="shared" si="149"/>
        <v>0.778032065331419</v>
      </c>
      <c r="AG74" s="20">
        <f t="shared" si="150"/>
        <v>31233.95</v>
      </c>
      <c r="AH74" s="20">
        <f t="shared" si="135"/>
        <v>42755.3</v>
      </c>
      <c r="AI74" s="20">
        <f t="shared" si="151"/>
        <v>960.08</v>
      </c>
      <c r="AJ74" s="19">
        <f t="shared" si="136"/>
        <v>5.9700000000000006</v>
      </c>
      <c r="AK74" s="19">
        <f t="shared" si="152"/>
        <v>6.2804878048780495</v>
      </c>
      <c r="AL74" s="19">
        <f t="shared" si="153"/>
        <v>0.15922330097087375</v>
      </c>
      <c r="AM74" s="19">
        <f t="shared" si="154"/>
        <v>1.2728531855955678</v>
      </c>
      <c r="AN74" s="19">
        <f t="shared" si="155"/>
        <v>0.71329639889196683</v>
      </c>
      <c r="AO74" s="19">
        <f t="shared" si="156"/>
        <v>0.95888984095793517</v>
      </c>
      <c r="AP74" s="19">
        <f t="shared" si="157"/>
        <v>1.0428726609523735</v>
      </c>
      <c r="AQ74" s="19">
        <f t="shared" si="158"/>
        <v>0.30552208324711477</v>
      </c>
      <c r="AR74" s="19">
        <f t="shared" si="159"/>
        <v>0.95888984095793517</v>
      </c>
      <c r="AS74" s="118">
        <f t="shared" si="160"/>
        <v>982.32248592694066</v>
      </c>
      <c r="AT74" s="118">
        <f t="shared" si="161"/>
        <v>2025.585243173568</v>
      </c>
      <c r="AU74" s="14">
        <f t="shared" si="162"/>
        <v>0.12638036809815953</v>
      </c>
      <c r="AV74" s="14">
        <f t="shared" si="163"/>
        <v>0.77205627209155969</v>
      </c>
      <c r="AX74" s="118"/>
      <c r="AY74" s="118"/>
      <c r="AZ74" s="133"/>
      <c r="BA74" s="134"/>
      <c r="BB74" s="133"/>
      <c r="BC74" s="133"/>
      <c r="BD74" s="133"/>
      <c r="BE74" s="133"/>
      <c r="BF74" s="133"/>
      <c r="BG74" s="133"/>
      <c r="BH74" s="133"/>
      <c r="BI74" s="133"/>
      <c r="BJ74" s="133"/>
      <c r="BK74" s="133"/>
      <c r="BL74" s="134"/>
      <c r="BM74" s="134"/>
      <c r="BN74" s="134"/>
      <c r="BO74" s="134"/>
      <c r="BP74" s="134"/>
      <c r="BQ74" s="134"/>
      <c r="BR74" s="135"/>
      <c r="BS74" s="135"/>
      <c r="BT74" s="134"/>
      <c r="BU74" s="135"/>
      <c r="BV74" s="135"/>
      <c r="BW74" s="135"/>
      <c r="BX74" s="14"/>
      <c r="BY74" s="14"/>
      <c r="BZ74" s="135"/>
      <c r="CA74" s="14"/>
      <c r="CB74" s="134"/>
      <c r="CC74" s="134"/>
      <c r="CD74" s="133"/>
      <c r="CE74" s="133"/>
      <c r="CG74" s="22"/>
      <c r="CH74" s="22"/>
      <c r="CI74" s="22"/>
      <c r="CJ74" s="22"/>
      <c r="CK74" s="22"/>
      <c r="CL74" s="22"/>
      <c r="CM74" s="22"/>
      <c r="CN74" s="22"/>
      <c r="CO74" s="22"/>
      <c r="CP74" s="22"/>
      <c r="CQ74" s="22"/>
      <c r="CR74" s="22"/>
      <c r="CS74" s="22"/>
      <c r="CT74" s="22"/>
      <c r="CU74" s="22"/>
      <c r="CV74" s="117"/>
      <c r="CW74" s="22"/>
      <c r="CX74" s="20"/>
      <c r="CY74" s="22"/>
      <c r="CZ74" s="22"/>
      <c r="DA74" s="22"/>
      <c r="DB74" s="22"/>
      <c r="DC74" s="22"/>
      <c r="DD74" s="22"/>
      <c r="DE74" s="22"/>
      <c r="DF74" s="22"/>
      <c r="DG74" s="19"/>
      <c r="DH74" s="20"/>
      <c r="DI74" s="19"/>
      <c r="DJ74" s="22"/>
      <c r="DK74" s="22"/>
      <c r="DL74" s="22"/>
      <c r="DM74" s="22"/>
      <c r="DN74" s="22"/>
      <c r="DO74" s="22"/>
      <c r="DP74" s="20"/>
      <c r="DQ74" s="22"/>
      <c r="DR74" s="22"/>
      <c r="DS74" s="19"/>
      <c r="DT74" s="23"/>
      <c r="DU74" s="22"/>
      <c r="DV74" s="22"/>
      <c r="DW74" s="22"/>
      <c r="DX74" s="22"/>
      <c r="DY74" s="22"/>
      <c r="DZ74" s="19"/>
      <c r="EA74" s="23"/>
      <c r="EB74" s="19"/>
      <c r="EC74" s="19"/>
      <c r="EE74" s="19">
        <f t="shared" si="187"/>
        <v>42.175533015938733</v>
      </c>
      <c r="EF74" s="19">
        <f t="shared" si="188"/>
        <v>5.392258331608363</v>
      </c>
      <c r="EG74" s="19">
        <f t="shared" si="189"/>
        <v>7.4725729662595741</v>
      </c>
      <c r="EH74" s="19">
        <f t="shared" si="190"/>
        <v>11.540053819085077</v>
      </c>
      <c r="EI74" s="19">
        <f t="shared" si="191"/>
        <v>0.14489753674187542</v>
      </c>
      <c r="EJ74" s="19">
        <f t="shared" si="192"/>
        <v>17.356654936866075</v>
      </c>
      <c r="EK74" s="19">
        <f t="shared" si="193"/>
        <v>9.5114883046988208</v>
      </c>
      <c r="EL74" s="19">
        <f t="shared" si="194"/>
        <v>0.8486855723452702</v>
      </c>
      <c r="EM74" s="19">
        <f t="shared" si="195"/>
        <v>5.3301593872904167</v>
      </c>
      <c r="EN74" s="19">
        <f t="shared" si="196"/>
        <v>0.2276961291658042</v>
      </c>
      <c r="EO74" s="19">
        <f t="shared" si="197"/>
        <v>100.00000000000003</v>
      </c>
      <c r="EP74" s="14"/>
    </row>
    <row r="75" spans="1:152">
      <c r="A75" s="1" t="s">
        <v>7</v>
      </c>
      <c r="B75" s="1" t="s">
        <v>33</v>
      </c>
      <c r="C75" s="36">
        <v>2</v>
      </c>
      <c r="D75" s="1" t="s">
        <v>30</v>
      </c>
      <c r="E75" s="1" t="s">
        <v>22</v>
      </c>
      <c r="F75" s="2" t="s">
        <v>3</v>
      </c>
      <c r="G75" s="132">
        <v>41.58</v>
      </c>
      <c r="H75" s="132">
        <v>4.9000000000000004</v>
      </c>
      <c r="I75" s="132">
        <v>7.83</v>
      </c>
      <c r="J75" s="132">
        <v>11.15</v>
      </c>
      <c r="K75" s="132">
        <v>0.14000000000000001</v>
      </c>
      <c r="L75" s="132">
        <v>16.25</v>
      </c>
      <c r="M75" s="132">
        <v>9</v>
      </c>
      <c r="N75" s="132">
        <v>2.39</v>
      </c>
      <c r="O75" s="132">
        <v>2.88</v>
      </c>
      <c r="P75" s="132">
        <v>0.19</v>
      </c>
      <c r="Q75" s="132">
        <v>2.5299999999999998</v>
      </c>
      <c r="R75" s="14"/>
      <c r="S75" s="15">
        <f t="shared" si="134"/>
        <v>98.839999999999989</v>
      </c>
      <c r="U75" s="86">
        <v>0.70506500000000005</v>
      </c>
      <c r="V75" s="86">
        <v>0.51248099999999996</v>
      </c>
      <c r="W75" s="84"/>
      <c r="X75" s="84"/>
      <c r="Y75" s="84"/>
      <c r="Z75" s="131"/>
      <c r="AA75" s="131"/>
      <c r="AB75" s="14"/>
      <c r="AC75" s="14"/>
      <c r="AD75" s="14"/>
      <c r="AF75" s="19">
        <f t="shared" si="149"/>
        <v>0.77254470048006796</v>
      </c>
      <c r="AG75" s="20">
        <f t="shared" si="150"/>
        <v>29375.500000000004</v>
      </c>
      <c r="AH75" s="20">
        <f t="shared" si="135"/>
        <v>23909.759999999998</v>
      </c>
      <c r="AI75" s="20">
        <f t="shared" si="151"/>
        <v>829.16</v>
      </c>
      <c r="AJ75" s="19">
        <f t="shared" si="136"/>
        <v>5.27</v>
      </c>
      <c r="AK75" s="19">
        <f t="shared" si="152"/>
        <v>1.2050209205020919</v>
      </c>
      <c r="AL75" s="19">
        <f t="shared" si="153"/>
        <v>0.82986111111111116</v>
      </c>
      <c r="AM75" s="19">
        <f t="shared" si="154"/>
        <v>1.1494252873563218</v>
      </c>
      <c r="AN75" s="19">
        <f t="shared" si="155"/>
        <v>0.36781609195402298</v>
      </c>
      <c r="AO75" s="19">
        <f t="shared" si="156"/>
        <v>0.90024396347878965</v>
      </c>
      <c r="AP75" s="19">
        <f t="shared" si="157"/>
        <v>1.1108100032525914</v>
      </c>
      <c r="AQ75" s="19">
        <f t="shared" si="158"/>
        <v>0.33444440326181551</v>
      </c>
      <c r="AR75" s="19">
        <f t="shared" si="159"/>
        <v>0.90024396347878965</v>
      </c>
      <c r="AS75" s="118">
        <f t="shared" si="160"/>
        <v>1022.7539539856929</v>
      </c>
      <c r="AT75" s="118">
        <f t="shared" si="161"/>
        <v>1996.6269175459427</v>
      </c>
      <c r="AU75" s="14">
        <f t="shared" si="162"/>
        <v>6.9264069264069264E-2</v>
      </c>
      <c r="AV75" s="14">
        <f t="shared" si="163"/>
        <v>0.3981160163018278</v>
      </c>
      <c r="AX75" s="118"/>
      <c r="AY75" s="118"/>
      <c r="AZ75" s="133">
        <v>1912</v>
      </c>
      <c r="BA75" s="134">
        <v>0.64</v>
      </c>
      <c r="BB75" s="133">
        <v>20</v>
      </c>
      <c r="BC75" s="133">
        <v>164</v>
      </c>
      <c r="BD75" s="133">
        <v>898</v>
      </c>
      <c r="BE75" s="133">
        <v>63</v>
      </c>
      <c r="BF75" s="133">
        <v>487</v>
      </c>
      <c r="BG75" s="133">
        <v>92</v>
      </c>
      <c r="BH75" s="133">
        <v>108</v>
      </c>
      <c r="BI75" s="133">
        <v>12</v>
      </c>
      <c r="BJ75" s="133">
        <v>265</v>
      </c>
      <c r="BK75" s="133">
        <v>150</v>
      </c>
      <c r="BL75" s="134"/>
      <c r="BM75" s="134">
        <v>9.1</v>
      </c>
      <c r="BN75" s="134">
        <v>106</v>
      </c>
      <c r="BO75" s="134">
        <v>196</v>
      </c>
      <c r="BP75" s="134">
        <v>23</v>
      </c>
      <c r="BQ75" s="117"/>
      <c r="BR75" s="14"/>
      <c r="BS75" s="135">
        <v>3.1</v>
      </c>
      <c r="BT75" s="134">
        <v>7.1</v>
      </c>
      <c r="BU75" s="135">
        <v>0.69</v>
      </c>
      <c r="BV75" s="135">
        <v>2.8</v>
      </c>
      <c r="BW75" s="135">
        <v>0.43</v>
      </c>
      <c r="BX75" s="135">
        <v>0.92</v>
      </c>
      <c r="BY75" s="135">
        <v>0.13</v>
      </c>
      <c r="BZ75" s="135">
        <v>0.79</v>
      </c>
      <c r="CA75" s="14"/>
      <c r="CB75" s="134">
        <v>4.9000000000000004</v>
      </c>
      <c r="CC75" s="134">
        <v>13</v>
      </c>
      <c r="CD75" s="133">
        <v>2.6</v>
      </c>
      <c r="CE75" s="133">
        <v>11</v>
      </c>
      <c r="CG75" s="22">
        <f t="shared" ref="CG75:CG83" si="199">BN75/0.242</f>
        <v>438.01652892561987</v>
      </c>
      <c r="CH75" s="22">
        <f t="shared" ref="CH75:CH83" si="200">BO75/0.635</f>
        <v>308.66141732283467</v>
      </c>
      <c r="CI75" s="22">
        <f t="shared" ref="CI75:CI83" si="201">BP75/0.0963</f>
        <v>238.83696780893044</v>
      </c>
      <c r="CJ75" s="22"/>
      <c r="CK75" s="22"/>
      <c r="CL75" s="22">
        <f t="shared" ref="CL75:CL83" si="202">BS75/0.0591</f>
        <v>52.453468697123519</v>
      </c>
      <c r="CM75" s="22">
        <f t="shared" ref="CM75:CM83" si="203">BT75/0.212</f>
        <v>33.490566037735846</v>
      </c>
      <c r="CN75" s="22">
        <f t="shared" ref="CN75:CN83" si="204">BU75/0.0376</f>
        <v>18.351063829787233</v>
      </c>
      <c r="CO75" s="22">
        <f t="shared" ref="CO75:CO83" si="205">BV75/0.259</f>
        <v>10.810810810810811</v>
      </c>
      <c r="CP75" s="22">
        <f t="shared" ref="CP75:CP83" si="206">BW75/0.0585</f>
        <v>7.3504273504273501</v>
      </c>
      <c r="CQ75" s="22">
        <f t="shared" ref="CQ75:CQ83" si="207">BX75/0.163</f>
        <v>5.6441717791411046</v>
      </c>
      <c r="CR75" s="22">
        <f t="shared" ref="CR75:CR83" si="208">BY75/0.0256</f>
        <v>5.078125</v>
      </c>
      <c r="CS75" s="22">
        <f t="shared" ref="CS75:CS83" si="209">BZ75/0.166</f>
        <v>4.7590361445783129</v>
      </c>
      <c r="CT75" s="22">
        <f t="shared" ref="CT75:CT83" si="210">CA75/0.025</f>
        <v>0</v>
      </c>
      <c r="CU75" s="22">
        <f t="shared" ref="CU75:CU83" si="211">AZ75/BK75</f>
        <v>12.746666666666666</v>
      </c>
      <c r="CV75" s="117">
        <f t="shared" ref="CV75:CV83" si="212">AZ75/BN75</f>
        <v>18.037735849056602</v>
      </c>
      <c r="CW75" s="22">
        <f t="shared" ref="CW75:CW83" si="213">BN75/BK75</f>
        <v>0.70666666666666667</v>
      </c>
      <c r="CX75" s="20">
        <f t="shared" ref="CX75:CX83" si="214">AG75/BK75</f>
        <v>195.8366666666667</v>
      </c>
      <c r="CY75" s="22">
        <f t="shared" ref="CY75:CY83" si="215">BO75/CB75</f>
        <v>40</v>
      </c>
      <c r="CZ75" s="22">
        <f t="shared" ref="CZ75:CZ83" si="216">BK75/CD75</f>
        <v>57.692307692307693</v>
      </c>
      <c r="DA75" s="22"/>
      <c r="DB75" s="22">
        <f t="shared" ref="DB75:DB83" si="217">BJ75/BK75</f>
        <v>1.7666666666666666</v>
      </c>
      <c r="DC75" s="22">
        <f t="shared" ref="DC75:DC83" si="218">AZ75/CC75</f>
        <v>147.07692307692307</v>
      </c>
      <c r="DD75" s="22">
        <f>CC75/BM75</f>
        <v>1.4285714285714286</v>
      </c>
      <c r="DE75" s="22">
        <f>BM75/BZ75</f>
        <v>11.518987341772151</v>
      </c>
      <c r="DF75" s="22">
        <f t="shared" ref="DF75:DF83" si="219">CC75/BZ75</f>
        <v>16.455696202531644</v>
      </c>
      <c r="DG75" s="19">
        <f t="shared" ref="DG75:DG83" si="220">BK75/BI75</f>
        <v>12.5</v>
      </c>
      <c r="DH75" s="20">
        <f t="shared" ref="DH75:DH83" si="221">AH75/BN75</f>
        <v>225.56377358490565</v>
      </c>
      <c r="DI75" s="19">
        <f t="shared" ref="DI75:DI83" si="222">(BK75/0.46)/((O75/0.023)*(CD75/0.017))^0.5</f>
        <v>2.3563450596493247</v>
      </c>
      <c r="DJ75" s="22"/>
      <c r="DK75" s="22"/>
      <c r="DL75" s="22"/>
      <c r="DM75" s="22">
        <f t="shared" ref="DM75:DM83" si="223">BN75/BZ75</f>
        <v>134.17721518987341</v>
      </c>
      <c r="DN75" s="22">
        <f t="shared" ref="DN75:DN83" si="224">BR75/BZ75</f>
        <v>0</v>
      </c>
      <c r="DO75" s="22"/>
      <c r="DP75" s="20"/>
      <c r="DQ75" s="22"/>
      <c r="DR75" s="22"/>
      <c r="DS75" s="19"/>
      <c r="DT75" s="23"/>
      <c r="DU75" s="22">
        <f t="shared" ref="DU75:DU83" si="225">BJ75/BI75</f>
        <v>22.083333333333332</v>
      </c>
      <c r="DV75" s="22">
        <f>BK75/BM75</f>
        <v>16.483516483516485</v>
      </c>
      <c r="DW75" s="22">
        <f t="shared" ref="DW75:DW83" si="226">1.74+LOG(BK75/BI75)-1.92*LOG(BJ75/BI75)</f>
        <v>0.25630592746082526</v>
      </c>
      <c r="DX75" s="22">
        <f t="shared" ref="DX75:DX83" si="227">BK75*100/BJ75</f>
        <v>56.60377358490566</v>
      </c>
      <c r="DY75" s="22">
        <f t="shared" ref="DY75:DY83" si="228">CC75*100/BJ75</f>
        <v>4.9056603773584904</v>
      </c>
      <c r="DZ75" s="19"/>
      <c r="EA75" s="23">
        <f>BA75/BN75</f>
        <v>6.0377358490566035E-3</v>
      </c>
      <c r="EB75" s="19">
        <f t="shared" ref="EB75:EB83" si="229">CC75/BK75</f>
        <v>8.666666666666667E-2</v>
      </c>
      <c r="EC75" s="19">
        <f t="shared" ref="EC75:EC83" si="230">(CB75/0.144)/(CH75*CI75)^(1/2)</f>
        <v>0.12532613327419526</v>
      </c>
      <c r="EE75" s="19">
        <f t="shared" si="187"/>
        <v>43.173086906863261</v>
      </c>
      <c r="EF75" s="19">
        <f t="shared" si="188"/>
        <v>5.0877375142768155</v>
      </c>
      <c r="EG75" s="19">
        <f t="shared" si="189"/>
        <v>8.1299968850586666</v>
      </c>
      <c r="EH75" s="19">
        <f t="shared" si="190"/>
        <v>11.577198629425814</v>
      </c>
      <c r="EI75" s="19">
        <f t="shared" si="191"/>
        <v>0.14536392897933759</v>
      </c>
      <c r="EJ75" s="19">
        <f t="shared" si="192"/>
        <v>16.872598899387398</v>
      </c>
      <c r="EK75" s="19">
        <f t="shared" si="193"/>
        <v>9.3448240058145586</v>
      </c>
      <c r="EL75" s="19">
        <f t="shared" si="194"/>
        <v>2.4815699304329772</v>
      </c>
      <c r="EM75" s="19">
        <f t="shared" si="195"/>
        <v>2.9903436818606588</v>
      </c>
      <c r="EN75" s="19">
        <f t="shared" si="196"/>
        <v>0.19727961790052956</v>
      </c>
      <c r="EO75" s="19">
        <f t="shared" si="197"/>
        <v>100.00000000000003</v>
      </c>
      <c r="EP75" s="14"/>
    </row>
    <row r="76" spans="1:152">
      <c r="A76" s="1" t="s">
        <v>7</v>
      </c>
      <c r="B76" s="1" t="s">
        <v>32</v>
      </c>
      <c r="C76" s="36">
        <v>2</v>
      </c>
      <c r="D76" s="1" t="s">
        <v>30</v>
      </c>
      <c r="E76" s="1" t="s">
        <v>12</v>
      </c>
      <c r="F76" s="2" t="s">
        <v>3</v>
      </c>
      <c r="G76" s="14">
        <v>38.700000000000003</v>
      </c>
      <c r="H76" s="14">
        <v>2.96</v>
      </c>
      <c r="I76" s="14">
        <v>7.11</v>
      </c>
      <c r="J76" s="14">
        <v>12.975900000000001</v>
      </c>
      <c r="K76" s="14">
        <v>0.154</v>
      </c>
      <c r="L76" s="14">
        <v>19.89</v>
      </c>
      <c r="M76" s="14">
        <v>10.09</v>
      </c>
      <c r="N76" s="14">
        <v>0.57999999999999996</v>
      </c>
      <c r="O76" s="14">
        <v>5.41</v>
      </c>
      <c r="P76" s="14">
        <v>0.55000000000000004</v>
      </c>
      <c r="Q76" s="14">
        <v>2.11</v>
      </c>
      <c r="R76" s="14"/>
      <c r="S76" s="15">
        <f t="shared" si="134"/>
        <v>100.52990000000001</v>
      </c>
      <c r="U76" s="86">
        <v>0.70518999999999998</v>
      </c>
      <c r="V76" s="86">
        <v>0.51249</v>
      </c>
      <c r="W76" s="84">
        <v>19.439</v>
      </c>
      <c r="X76" s="84">
        <v>15.722</v>
      </c>
      <c r="Y76" s="84">
        <v>40.264000000000003</v>
      </c>
      <c r="Z76" s="131">
        <v>2.0712999639899174</v>
      </c>
      <c r="AA76" s="131">
        <v>0.80878646020885847</v>
      </c>
      <c r="AB76" s="14">
        <v>12.381240000000027</v>
      </c>
      <c r="AC76" s="14">
        <v>113.52490000000017</v>
      </c>
      <c r="AD76" s="14"/>
      <c r="AF76" s="19">
        <f t="shared" si="149"/>
        <v>0.78129107329736558</v>
      </c>
      <c r="AG76" s="20">
        <f t="shared" si="150"/>
        <v>17745.2</v>
      </c>
      <c r="AH76" s="20">
        <f t="shared" si="135"/>
        <v>44913.82</v>
      </c>
      <c r="AI76" s="20">
        <f t="shared" si="151"/>
        <v>2400.2000000000003</v>
      </c>
      <c r="AJ76" s="19">
        <f t="shared" si="136"/>
        <v>5.99</v>
      </c>
      <c r="AK76" s="19">
        <f t="shared" si="152"/>
        <v>9.3275862068965534</v>
      </c>
      <c r="AL76" s="19">
        <f t="shared" si="153"/>
        <v>0.10720887245841033</v>
      </c>
      <c r="AM76" s="19">
        <f t="shared" si="154"/>
        <v>1.4191279887482418</v>
      </c>
      <c r="AN76" s="19">
        <f t="shared" si="155"/>
        <v>0.76090014064697609</v>
      </c>
      <c r="AO76" s="19">
        <f t="shared" si="156"/>
        <v>0.95777660777929663</v>
      </c>
      <c r="AP76" s="19">
        <f t="shared" si="157"/>
        <v>1.0440848021112175</v>
      </c>
      <c r="AQ76" s="19">
        <f t="shared" si="158"/>
        <v>0.28265216980802693</v>
      </c>
      <c r="AR76" s="19">
        <f t="shared" si="159"/>
        <v>0.95777660777929663</v>
      </c>
      <c r="AS76" s="118">
        <f t="shared" si="160"/>
        <v>884.55251345657234</v>
      </c>
      <c r="AT76" s="118">
        <f t="shared" si="161"/>
        <v>2241.5105843077149</v>
      </c>
      <c r="AU76" s="14">
        <f t="shared" si="162"/>
        <v>0.13979328165374677</v>
      </c>
      <c r="AV76" s="14">
        <f t="shared" si="163"/>
        <v>0.8235815110442215</v>
      </c>
      <c r="AX76" s="118">
        <v>164</v>
      </c>
      <c r="AY76" s="118">
        <v>1535</v>
      </c>
      <c r="AZ76" s="118">
        <v>1964</v>
      </c>
      <c r="BB76" s="118"/>
      <c r="BC76" s="118">
        <v>161</v>
      </c>
      <c r="BD76" s="118">
        <v>605</v>
      </c>
      <c r="BE76" s="118"/>
      <c r="BF76" s="118">
        <v>535</v>
      </c>
      <c r="BG76" s="118"/>
      <c r="BH76" s="118">
        <v>92</v>
      </c>
      <c r="BI76" s="118">
        <v>12</v>
      </c>
      <c r="BJ76" s="118">
        <v>204</v>
      </c>
      <c r="BK76" s="118">
        <v>156</v>
      </c>
      <c r="BL76" s="117"/>
      <c r="BM76" s="117"/>
      <c r="BN76" s="117">
        <v>151</v>
      </c>
      <c r="BO76" s="117">
        <v>281</v>
      </c>
      <c r="BP76" s="117">
        <v>30.7</v>
      </c>
      <c r="BQ76" s="117">
        <v>106</v>
      </c>
      <c r="BR76" s="14">
        <v>13.3</v>
      </c>
      <c r="BS76" s="14">
        <v>3.61</v>
      </c>
      <c r="BT76" s="117">
        <v>8.23</v>
      </c>
      <c r="BU76" s="14">
        <v>1.07</v>
      </c>
      <c r="BV76" s="14">
        <v>4.16</v>
      </c>
      <c r="BW76" s="14">
        <v>0.53</v>
      </c>
      <c r="BX76" s="14">
        <v>1.1399999999999999</v>
      </c>
      <c r="BY76" s="14">
        <v>0.18</v>
      </c>
      <c r="BZ76" s="14">
        <v>1.05</v>
      </c>
      <c r="CA76" s="14">
        <v>0.15</v>
      </c>
      <c r="CB76" s="117">
        <v>7.6</v>
      </c>
      <c r="CC76" s="117">
        <v>18.7</v>
      </c>
      <c r="CD76" s="118">
        <v>4.5</v>
      </c>
      <c r="CE76" s="118"/>
      <c r="CG76" s="22">
        <f t="shared" si="199"/>
        <v>623.96694214876038</v>
      </c>
      <c r="CH76" s="22">
        <f t="shared" si="200"/>
        <v>442.51968503937007</v>
      </c>
      <c r="CI76" s="22">
        <f t="shared" si="201"/>
        <v>318.79543094496364</v>
      </c>
      <c r="CJ76" s="22">
        <f t="shared" ref="CJ76:CJ83" si="231">BQ76/0.48</f>
        <v>220.83333333333334</v>
      </c>
      <c r="CK76" s="22">
        <f t="shared" ref="CK76:CK83" si="232">BR76/0.156</f>
        <v>85.256410256410263</v>
      </c>
      <c r="CL76" s="22">
        <f t="shared" si="202"/>
        <v>61.082910321489003</v>
      </c>
      <c r="CM76" s="22">
        <f t="shared" si="203"/>
        <v>38.820754716981135</v>
      </c>
      <c r="CN76" s="22">
        <f t="shared" si="204"/>
        <v>28.457446808510639</v>
      </c>
      <c r="CO76" s="22">
        <f t="shared" si="205"/>
        <v>16.061776061776062</v>
      </c>
      <c r="CP76" s="22">
        <f t="shared" si="206"/>
        <v>9.0598290598290596</v>
      </c>
      <c r="CQ76" s="22">
        <f t="shared" si="207"/>
        <v>6.9938650306748453</v>
      </c>
      <c r="CR76" s="22">
        <f t="shared" si="208"/>
        <v>7.0312499999999991</v>
      </c>
      <c r="CS76" s="22">
        <f t="shared" si="209"/>
        <v>6.3253012048192767</v>
      </c>
      <c r="CT76" s="22">
        <f t="shared" si="210"/>
        <v>5.9999999999999991</v>
      </c>
      <c r="CU76" s="22">
        <f t="shared" si="211"/>
        <v>12.589743589743589</v>
      </c>
      <c r="CV76" s="117">
        <f t="shared" si="212"/>
        <v>13.006622516556291</v>
      </c>
      <c r="CW76" s="22">
        <f t="shared" si="213"/>
        <v>0.96794871794871795</v>
      </c>
      <c r="CX76" s="20">
        <f t="shared" si="214"/>
        <v>113.75128205128206</v>
      </c>
      <c r="CY76" s="22">
        <f t="shared" si="215"/>
        <v>36.973684210526315</v>
      </c>
      <c r="CZ76" s="22">
        <f t="shared" si="216"/>
        <v>34.666666666666664</v>
      </c>
      <c r="DA76" s="22">
        <f t="shared" ref="DA76:DA83" si="233">AX76/BR76</f>
        <v>12.330827067669173</v>
      </c>
      <c r="DB76" s="22">
        <f t="shared" si="217"/>
        <v>1.3076923076923077</v>
      </c>
      <c r="DC76" s="22">
        <f t="shared" si="218"/>
        <v>105.02673796791444</v>
      </c>
      <c r="DD76" s="22"/>
      <c r="DE76" s="22"/>
      <c r="DF76" s="22">
        <f t="shared" si="219"/>
        <v>17.809523809523807</v>
      </c>
      <c r="DG76" s="19">
        <f t="shared" si="220"/>
        <v>13</v>
      </c>
      <c r="DH76" s="20">
        <f t="shared" si="221"/>
        <v>297.44251655629137</v>
      </c>
      <c r="DI76" s="19">
        <f t="shared" si="222"/>
        <v>1.3590963806706651</v>
      </c>
      <c r="DJ76" s="22">
        <f t="shared" ref="DJ76:DJ83" si="234">BN76/CA76</f>
        <v>1006.6666666666667</v>
      </c>
      <c r="DK76" s="22">
        <f t="shared" ref="DK76:DK83" si="235">CG76/CT76</f>
        <v>103.99449035812674</v>
      </c>
      <c r="DL76" s="22">
        <f t="shared" ref="DL76:DL83" si="236">CG76/CK76</f>
        <v>7.3187099981358354</v>
      </c>
      <c r="DM76" s="22">
        <f t="shared" si="223"/>
        <v>143.8095238095238</v>
      </c>
      <c r="DN76" s="22">
        <f t="shared" si="224"/>
        <v>12.666666666666666</v>
      </c>
      <c r="DO76" s="22"/>
      <c r="DP76" s="20">
        <f t="shared" ref="DP76:DP83" si="237">AY76/BZ76</f>
        <v>1461.9047619047619</v>
      </c>
      <c r="DQ76" s="22">
        <f t="shared" ref="DQ76:DQ83" si="238">AY76/BQ76</f>
        <v>14.481132075471699</v>
      </c>
      <c r="DR76" s="22">
        <f t="shared" ref="DR76:DR83" si="239">AY76/(((BR76/0.195)*(BT76/0.259))^0.5)</f>
        <v>32.972344551335702</v>
      </c>
      <c r="DS76" s="19">
        <f t="shared" ref="DS76:DS83" si="240">(BS76/0.074)/(((BR76/0.195)*(BT76/0.259))^0.5)</f>
        <v>1.0478929820435063</v>
      </c>
      <c r="DT76" s="23">
        <f t="shared" ref="DT76:DT83" si="241">1/AY76</f>
        <v>6.5146579804560263E-4</v>
      </c>
      <c r="DU76" s="22">
        <f t="shared" si="225"/>
        <v>17</v>
      </c>
      <c r="DV76" s="22"/>
      <c r="DW76" s="22">
        <f t="shared" si="226"/>
        <v>0.49148142326055089</v>
      </c>
      <c r="DX76" s="22">
        <f t="shared" si="227"/>
        <v>76.470588235294116</v>
      </c>
      <c r="DY76" s="22">
        <f t="shared" si="228"/>
        <v>9.1666666666666661</v>
      </c>
      <c r="DZ76" s="19">
        <f t="shared" ref="DZ76:DZ83" si="242">EK76*100/AY76</f>
        <v>0.66788219681996519</v>
      </c>
      <c r="EA76" s="23"/>
      <c r="EB76" s="19">
        <f t="shared" si="229"/>
        <v>0.11987179487179486</v>
      </c>
      <c r="EC76" s="19">
        <f t="shared" si="230"/>
        <v>0.140516964264811</v>
      </c>
      <c r="EE76" s="19">
        <f t="shared" si="187"/>
        <v>39.321316115948093</v>
      </c>
      <c r="EF76" s="19">
        <f t="shared" si="188"/>
        <v>3.0075218527960299</v>
      </c>
      <c r="EG76" s="19">
        <f t="shared" si="189"/>
        <v>7.2241487747904634</v>
      </c>
      <c r="EH76" s="19">
        <f t="shared" si="190"/>
        <v>13.184223922194597</v>
      </c>
      <c r="EI76" s="19">
        <f t="shared" si="191"/>
        <v>0.15647242071979345</v>
      </c>
      <c r="EJ76" s="19">
        <f t="shared" si="192"/>
        <v>20.20932758517332</v>
      </c>
      <c r="EK76" s="19">
        <f t="shared" si="193"/>
        <v>10.251991721186466</v>
      </c>
      <c r="EL76" s="19">
        <f t="shared" si="194"/>
        <v>0.58931171439922192</v>
      </c>
      <c r="EM76" s="19">
        <f t="shared" si="195"/>
        <v>5.4968558187927439</v>
      </c>
      <c r="EN76" s="19">
        <f t="shared" si="196"/>
        <v>0.55883007399926232</v>
      </c>
      <c r="EO76" s="19">
        <f t="shared" si="197"/>
        <v>99.999999999999986</v>
      </c>
      <c r="EP76" s="19"/>
    </row>
    <row r="77" spans="1:152">
      <c r="A77" s="1" t="s">
        <v>7</v>
      </c>
      <c r="B77" s="1" t="s">
        <v>32</v>
      </c>
      <c r="C77" s="1">
        <v>2</v>
      </c>
      <c r="D77" s="1" t="s">
        <v>30</v>
      </c>
      <c r="E77" s="1" t="s">
        <v>12</v>
      </c>
      <c r="F77" s="2" t="s">
        <v>3</v>
      </c>
      <c r="G77" s="14">
        <v>39.92</v>
      </c>
      <c r="H77" s="14">
        <v>3.35</v>
      </c>
      <c r="I77" s="14">
        <v>7.46</v>
      </c>
      <c r="J77" s="14">
        <v>10.878000000000002</v>
      </c>
      <c r="K77" s="14">
        <v>0.22</v>
      </c>
      <c r="L77" s="14">
        <v>17.71</v>
      </c>
      <c r="M77" s="14">
        <v>10.99</v>
      </c>
      <c r="N77" s="14">
        <v>1.55</v>
      </c>
      <c r="O77" s="14">
        <v>6.25</v>
      </c>
      <c r="P77" s="14">
        <v>0.69</v>
      </c>
      <c r="Q77" s="14">
        <v>1.48</v>
      </c>
      <c r="R77" s="14"/>
      <c r="S77" s="15">
        <f t="shared" si="134"/>
        <v>100.498</v>
      </c>
      <c r="U77" s="86">
        <v>0.70513999999999999</v>
      </c>
      <c r="V77" s="86">
        <v>0.51249</v>
      </c>
      <c r="W77" s="84">
        <v>19.431000000000001</v>
      </c>
      <c r="X77" s="84">
        <v>15.72</v>
      </c>
      <c r="Y77" s="84">
        <v>40.162999999999997</v>
      </c>
      <c r="Z77" s="131">
        <v>2.0669548659358754</v>
      </c>
      <c r="AA77" s="131">
        <v>0.80901651999382429</v>
      </c>
      <c r="AB77" s="14">
        <v>12.267960000000144</v>
      </c>
      <c r="AC77" s="14">
        <v>104.39209999999903</v>
      </c>
      <c r="AD77" s="14"/>
      <c r="AF77" s="19">
        <f t="shared" si="149"/>
        <v>0.7914139976095167</v>
      </c>
      <c r="AG77" s="20">
        <f t="shared" si="150"/>
        <v>20083.25</v>
      </c>
      <c r="AH77" s="20">
        <f t="shared" si="135"/>
        <v>51887.5</v>
      </c>
      <c r="AI77" s="20">
        <f t="shared" si="151"/>
        <v>3011.16</v>
      </c>
      <c r="AJ77" s="19">
        <f t="shared" si="136"/>
        <v>7.8</v>
      </c>
      <c r="AK77" s="19">
        <f t="shared" si="152"/>
        <v>4.032258064516129</v>
      </c>
      <c r="AL77" s="19">
        <f t="shared" si="153"/>
        <v>0.248</v>
      </c>
      <c r="AM77" s="19">
        <f t="shared" si="154"/>
        <v>1.4731903485254694</v>
      </c>
      <c r="AN77" s="19">
        <f t="shared" si="155"/>
        <v>0.83780160857908847</v>
      </c>
      <c r="AO77" s="19">
        <f t="shared" si="156"/>
        <v>1.2486172277678764</v>
      </c>
      <c r="AP77" s="19">
        <f t="shared" si="157"/>
        <v>0.80088595428694864</v>
      </c>
      <c r="AQ77" s="19">
        <f t="shared" si="158"/>
        <v>0.25464409660770332</v>
      </c>
      <c r="AR77" s="19">
        <f t="shared" si="159"/>
        <v>1.2486172277678764</v>
      </c>
      <c r="AS77" s="118">
        <f t="shared" si="160"/>
        <v>432.06948408353492</v>
      </c>
      <c r="AT77" s="118">
        <f t="shared" si="161"/>
        <v>2222.889111295292</v>
      </c>
      <c r="AU77" s="14">
        <f t="shared" si="162"/>
        <v>0.15656312625250501</v>
      </c>
      <c r="AV77" s="14">
        <f t="shared" si="163"/>
        <v>0.90681796189728092</v>
      </c>
      <c r="AX77" s="118">
        <v>157</v>
      </c>
      <c r="AY77" s="118">
        <v>1602</v>
      </c>
      <c r="AZ77" s="118">
        <v>2149</v>
      </c>
      <c r="BB77" s="118"/>
      <c r="BC77" s="118">
        <v>170</v>
      </c>
      <c r="BD77" s="118">
        <v>859</v>
      </c>
      <c r="BE77" s="118"/>
      <c r="BF77" s="118">
        <v>460</v>
      </c>
      <c r="BG77" s="118"/>
      <c r="BH77" s="118">
        <v>87</v>
      </c>
      <c r="BI77" s="118">
        <v>13</v>
      </c>
      <c r="BJ77" s="118">
        <v>210</v>
      </c>
      <c r="BK77" s="118">
        <v>15</v>
      </c>
      <c r="BL77" s="117"/>
      <c r="BM77" s="117"/>
      <c r="BN77" s="117">
        <v>160</v>
      </c>
      <c r="BO77" s="117">
        <v>342</v>
      </c>
      <c r="BP77" s="117">
        <v>32.6</v>
      </c>
      <c r="BQ77" s="117">
        <v>113</v>
      </c>
      <c r="BR77" s="14">
        <v>13.8</v>
      </c>
      <c r="BS77" s="14">
        <v>3.73</v>
      </c>
      <c r="BT77" s="117">
        <v>8.7899999999999991</v>
      </c>
      <c r="BU77" s="14">
        <v>1.1399999999999999</v>
      </c>
      <c r="BV77" s="14">
        <v>4.33</v>
      </c>
      <c r="BW77" s="14">
        <v>0.56999999999999995</v>
      </c>
      <c r="BX77" s="14">
        <v>1.26</v>
      </c>
      <c r="BY77" s="14">
        <v>0.2</v>
      </c>
      <c r="BZ77" s="14">
        <v>1.08</v>
      </c>
      <c r="CA77" s="14">
        <v>0.17</v>
      </c>
      <c r="CB77" s="117">
        <v>7.48</v>
      </c>
      <c r="CC77" s="117">
        <v>20.6</v>
      </c>
      <c r="CD77" s="118">
        <v>4.8</v>
      </c>
      <c r="CE77" s="118"/>
      <c r="CG77" s="22">
        <f t="shared" si="199"/>
        <v>661.15702479338847</v>
      </c>
      <c r="CH77" s="22">
        <f t="shared" si="200"/>
        <v>538.58267716535431</v>
      </c>
      <c r="CI77" s="22">
        <f t="shared" si="201"/>
        <v>338.52544132917967</v>
      </c>
      <c r="CJ77" s="22">
        <f t="shared" si="231"/>
        <v>235.41666666666669</v>
      </c>
      <c r="CK77" s="22">
        <f t="shared" si="232"/>
        <v>88.461538461538467</v>
      </c>
      <c r="CL77" s="22">
        <f t="shared" si="202"/>
        <v>63.113367174280881</v>
      </c>
      <c r="CM77" s="22">
        <f t="shared" si="203"/>
        <v>41.46226415094339</v>
      </c>
      <c r="CN77" s="22">
        <f t="shared" si="204"/>
        <v>30.319148936170208</v>
      </c>
      <c r="CO77" s="22">
        <f t="shared" si="205"/>
        <v>16.718146718146716</v>
      </c>
      <c r="CP77" s="22">
        <f t="shared" si="206"/>
        <v>9.7435897435897427</v>
      </c>
      <c r="CQ77" s="22">
        <f t="shared" si="207"/>
        <v>7.7300613496932513</v>
      </c>
      <c r="CR77" s="22">
        <f t="shared" si="208"/>
        <v>7.8125</v>
      </c>
      <c r="CS77" s="22">
        <f t="shared" si="209"/>
        <v>6.5060240963855422</v>
      </c>
      <c r="CT77" s="22">
        <f t="shared" si="210"/>
        <v>6.8</v>
      </c>
      <c r="CU77" s="22">
        <f t="shared" si="211"/>
        <v>143.26666666666668</v>
      </c>
      <c r="CV77" s="117">
        <f t="shared" si="212"/>
        <v>13.43125</v>
      </c>
      <c r="CW77" s="22">
        <f t="shared" si="213"/>
        <v>10.666666666666666</v>
      </c>
      <c r="CX77" s="20">
        <f t="shared" si="214"/>
        <v>1338.8833333333334</v>
      </c>
      <c r="CY77" s="22">
        <f t="shared" si="215"/>
        <v>45.721925133689837</v>
      </c>
      <c r="CZ77" s="22">
        <f t="shared" si="216"/>
        <v>3.125</v>
      </c>
      <c r="DA77" s="22">
        <f t="shared" si="233"/>
        <v>11.376811594202898</v>
      </c>
      <c r="DB77" s="22">
        <f t="shared" si="217"/>
        <v>14</v>
      </c>
      <c r="DC77" s="22">
        <f t="shared" si="218"/>
        <v>104.32038834951456</v>
      </c>
      <c r="DD77" s="22"/>
      <c r="DE77" s="22"/>
      <c r="DF77" s="22">
        <f t="shared" si="219"/>
        <v>19.074074074074073</v>
      </c>
      <c r="DG77" s="19">
        <f t="shared" si="220"/>
        <v>1.1538461538461537</v>
      </c>
      <c r="DH77" s="20">
        <f t="shared" si="221"/>
        <v>324.296875</v>
      </c>
      <c r="DI77" s="19">
        <f t="shared" si="222"/>
        <v>0.11772296144836789</v>
      </c>
      <c r="DJ77" s="22">
        <f t="shared" si="234"/>
        <v>941.17647058823525</v>
      </c>
      <c r="DK77" s="22">
        <f t="shared" si="235"/>
        <v>97.228974234321839</v>
      </c>
      <c r="DL77" s="22">
        <f t="shared" si="236"/>
        <v>7.4739489759252606</v>
      </c>
      <c r="DM77" s="22">
        <f t="shared" si="223"/>
        <v>148.14814814814815</v>
      </c>
      <c r="DN77" s="22">
        <f t="shared" si="224"/>
        <v>12.777777777777777</v>
      </c>
      <c r="DO77" s="22"/>
      <c r="DP77" s="20">
        <f t="shared" si="237"/>
        <v>1483.3333333333333</v>
      </c>
      <c r="DQ77" s="22">
        <f t="shared" si="238"/>
        <v>14.176991150442477</v>
      </c>
      <c r="DR77" s="22">
        <f t="shared" si="239"/>
        <v>32.68855467993901</v>
      </c>
      <c r="DS77" s="19">
        <f t="shared" si="240"/>
        <v>1.0285142638945619</v>
      </c>
      <c r="DT77" s="23">
        <f t="shared" si="241"/>
        <v>6.2421972534332086E-4</v>
      </c>
      <c r="DU77" s="22">
        <f t="shared" si="225"/>
        <v>16.153846153846153</v>
      </c>
      <c r="DV77" s="22"/>
      <c r="DW77" s="22">
        <f t="shared" si="226"/>
        <v>-0.51774190271115406</v>
      </c>
      <c r="DX77" s="22">
        <f t="shared" si="227"/>
        <v>7.1428571428571432</v>
      </c>
      <c r="DY77" s="22">
        <f t="shared" si="228"/>
        <v>9.8095238095238102</v>
      </c>
      <c r="DZ77" s="19">
        <f t="shared" si="242"/>
        <v>0.69282098017765426</v>
      </c>
      <c r="EA77" s="23"/>
      <c r="EB77" s="19">
        <f t="shared" si="229"/>
        <v>1.3733333333333335</v>
      </c>
      <c r="EC77" s="19">
        <f t="shared" si="230"/>
        <v>0.12165144135347261</v>
      </c>
      <c r="EE77" s="19">
        <f t="shared" si="187"/>
        <v>40.315902159203375</v>
      </c>
      <c r="EF77" s="19">
        <f t="shared" si="188"/>
        <v>3.3832232523379586</v>
      </c>
      <c r="EG77" s="19">
        <f t="shared" si="189"/>
        <v>7.533983720131693</v>
      </c>
      <c r="EH77" s="19">
        <f t="shared" si="190"/>
        <v>10.985881354905171</v>
      </c>
      <c r="EI77" s="19">
        <f t="shared" si="191"/>
        <v>0.22218182552667193</v>
      </c>
      <c r="EJ77" s="19">
        <f t="shared" si="192"/>
        <v>17.885636954897091</v>
      </c>
      <c r="EK77" s="19">
        <f t="shared" si="193"/>
        <v>11.098992102446021</v>
      </c>
      <c r="EL77" s="19">
        <f t="shared" si="194"/>
        <v>1.5653719525742795</v>
      </c>
      <c r="EM77" s="19">
        <f t="shared" si="195"/>
        <v>6.3119836797349977</v>
      </c>
      <c r="EN77" s="19">
        <f t="shared" si="196"/>
        <v>0.69684299824274376</v>
      </c>
      <c r="EO77" s="19">
        <f t="shared" si="197"/>
        <v>100</v>
      </c>
      <c r="EP77" s="19"/>
    </row>
    <row r="78" spans="1:152">
      <c r="A78" s="1" t="s">
        <v>7</v>
      </c>
      <c r="B78" s="1" t="s">
        <v>32</v>
      </c>
      <c r="C78" s="36">
        <v>2</v>
      </c>
      <c r="D78" s="1" t="s">
        <v>30</v>
      </c>
      <c r="E78" s="1" t="s">
        <v>12</v>
      </c>
      <c r="F78" s="2" t="s">
        <v>3</v>
      </c>
      <c r="G78" s="14">
        <v>37.68</v>
      </c>
      <c r="H78" s="14">
        <v>4.82</v>
      </c>
      <c r="I78" s="14">
        <v>7.35</v>
      </c>
      <c r="J78" s="14">
        <v>14.5632</v>
      </c>
      <c r="K78" s="14">
        <v>0.23</v>
      </c>
      <c r="L78" s="14">
        <v>9.39</v>
      </c>
      <c r="M78" s="14">
        <v>14.58</v>
      </c>
      <c r="N78" s="14">
        <v>1.42</v>
      </c>
      <c r="O78" s="14">
        <v>5.81</v>
      </c>
      <c r="P78" s="14">
        <v>1.18</v>
      </c>
      <c r="Q78" s="14">
        <v>2.93</v>
      </c>
      <c r="R78" s="14"/>
      <c r="S78" s="15">
        <f t="shared" si="134"/>
        <v>99.953200000000024</v>
      </c>
      <c r="U78" s="86">
        <v>0.70462999999999998</v>
      </c>
      <c r="V78" s="86">
        <v>0.51251999999999998</v>
      </c>
      <c r="W78" s="84">
        <v>19.350000000000001</v>
      </c>
      <c r="X78" s="84">
        <v>15.702999999999999</v>
      </c>
      <c r="Y78" s="84">
        <v>39.957999999999998</v>
      </c>
      <c r="Z78" s="131">
        <v>2.0650129198966405</v>
      </c>
      <c r="AA78" s="131">
        <v>0.81152454780361749</v>
      </c>
      <c r="AB78" s="14">
        <v>11.445999999999934</v>
      </c>
      <c r="AC78" s="14">
        <v>93.684999999999263</v>
      </c>
      <c r="AD78" s="14"/>
      <c r="AF78" s="19">
        <f t="shared" si="149"/>
        <v>0.60042355242595902</v>
      </c>
      <c r="AG78" s="20">
        <f t="shared" si="150"/>
        <v>28895.9</v>
      </c>
      <c r="AH78" s="20">
        <f t="shared" si="135"/>
        <v>48234.619999999995</v>
      </c>
      <c r="AI78" s="20">
        <f t="shared" si="151"/>
        <v>5149.5199999999995</v>
      </c>
      <c r="AJ78" s="19">
        <f t="shared" si="136"/>
        <v>7.2299999999999995</v>
      </c>
      <c r="AK78" s="19">
        <f t="shared" si="152"/>
        <v>4.091549295774648</v>
      </c>
      <c r="AL78" s="19">
        <f t="shared" si="153"/>
        <v>0.24440619621342513</v>
      </c>
      <c r="AM78" s="19">
        <f t="shared" si="154"/>
        <v>1.9836734693877551</v>
      </c>
      <c r="AN78" s="19">
        <f t="shared" si="155"/>
        <v>0.79047619047619044</v>
      </c>
      <c r="AO78" s="19">
        <f t="shared" si="156"/>
        <v>1.1734125376925177</v>
      </c>
      <c r="AP78" s="19">
        <f t="shared" si="157"/>
        <v>0.85221519958059377</v>
      </c>
      <c r="AQ78" s="19">
        <f t="shared" si="158"/>
        <v>0.20920664263397254</v>
      </c>
      <c r="AR78" s="19">
        <f t="shared" si="159"/>
        <v>1.1734125376925177</v>
      </c>
      <c r="AS78" s="118">
        <f t="shared" si="160"/>
        <v>355.20559677502973</v>
      </c>
      <c r="AT78" s="118">
        <f t="shared" si="161"/>
        <v>2236.6748949973003</v>
      </c>
      <c r="AU78" s="14">
        <f t="shared" si="162"/>
        <v>0.1541932059447983</v>
      </c>
      <c r="AV78" s="14">
        <f t="shared" si="163"/>
        <v>0.85559397432008877</v>
      </c>
      <c r="AX78" s="118">
        <v>115</v>
      </c>
      <c r="AY78" s="118">
        <v>2754</v>
      </c>
      <c r="AZ78" s="118">
        <v>2372</v>
      </c>
      <c r="BB78" s="118"/>
      <c r="BC78" s="118">
        <v>184</v>
      </c>
      <c r="BD78" s="118">
        <v>194</v>
      </c>
      <c r="BE78" s="118"/>
      <c r="BF78" s="118">
        <v>75</v>
      </c>
      <c r="BG78" s="118"/>
      <c r="BH78" s="118">
        <v>118</v>
      </c>
      <c r="BI78" s="118">
        <v>17</v>
      </c>
      <c r="BJ78" s="118">
        <v>452</v>
      </c>
      <c r="BK78" s="118">
        <v>276</v>
      </c>
      <c r="BL78" s="117"/>
      <c r="BM78" s="117"/>
      <c r="BN78" s="117">
        <v>241</v>
      </c>
      <c r="BO78" s="117">
        <v>343</v>
      </c>
      <c r="BP78" s="117">
        <v>50.9</v>
      </c>
      <c r="BQ78" s="117">
        <v>184</v>
      </c>
      <c r="BR78" s="14">
        <v>21.9</v>
      </c>
      <c r="BS78" s="14">
        <v>5.98</v>
      </c>
      <c r="BT78" s="117">
        <v>14.3</v>
      </c>
      <c r="BU78" s="14">
        <v>1.76</v>
      </c>
      <c r="BV78" s="14">
        <v>6.85</v>
      </c>
      <c r="BW78" s="14">
        <v>0.79</v>
      </c>
      <c r="BX78" s="14">
        <v>1.71</v>
      </c>
      <c r="BY78" s="14">
        <v>0.22</v>
      </c>
      <c r="BZ78" s="14">
        <v>1.27</v>
      </c>
      <c r="CA78" s="14">
        <v>0.2</v>
      </c>
      <c r="CB78" s="117">
        <v>10.84</v>
      </c>
      <c r="CC78" s="117">
        <v>35.9</v>
      </c>
      <c r="CD78" s="118">
        <v>7.78</v>
      </c>
      <c r="CE78" s="118"/>
      <c r="CG78" s="22">
        <f t="shared" si="199"/>
        <v>995.8677685950413</v>
      </c>
      <c r="CH78" s="22">
        <f t="shared" si="200"/>
        <v>540.15748031496059</v>
      </c>
      <c r="CI78" s="22">
        <f t="shared" si="201"/>
        <v>528.55659397715476</v>
      </c>
      <c r="CJ78" s="22">
        <f t="shared" si="231"/>
        <v>383.33333333333337</v>
      </c>
      <c r="CK78" s="22">
        <f t="shared" si="232"/>
        <v>140.38461538461539</v>
      </c>
      <c r="CL78" s="22">
        <f t="shared" si="202"/>
        <v>101.18443316412861</v>
      </c>
      <c r="CM78" s="22">
        <f t="shared" si="203"/>
        <v>67.452830188679258</v>
      </c>
      <c r="CN78" s="22">
        <f t="shared" si="204"/>
        <v>46.808510638297868</v>
      </c>
      <c r="CO78" s="22">
        <f t="shared" si="205"/>
        <v>26.447876447876446</v>
      </c>
      <c r="CP78" s="22">
        <f t="shared" si="206"/>
        <v>13.504273504273504</v>
      </c>
      <c r="CQ78" s="22">
        <f t="shared" si="207"/>
        <v>10.490797546012269</v>
      </c>
      <c r="CR78" s="22">
        <f t="shared" si="208"/>
        <v>8.59375</v>
      </c>
      <c r="CS78" s="22">
        <f t="shared" si="209"/>
        <v>7.6506024096385543</v>
      </c>
      <c r="CT78" s="22">
        <f t="shared" si="210"/>
        <v>8</v>
      </c>
      <c r="CU78" s="22">
        <f t="shared" si="211"/>
        <v>8.5942028985507246</v>
      </c>
      <c r="CV78" s="117">
        <f t="shared" si="212"/>
        <v>9.8423236514522827</v>
      </c>
      <c r="CW78" s="22">
        <f t="shared" si="213"/>
        <v>0.87318840579710144</v>
      </c>
      <c r="CX78" s="20">
        <f t="shared" si="214"/>
        <v>104.69528985507247</v>
      </c>
      <c r="CY78" s="22">
        <f t="shared" si="215"/>
        <v>31.642066420664207</v>
      </c>
      <c r="CZ78" s="22">
        <f t="shared" si="216"/>
        <v>35.475578406169667</v>
      </c>
      <c r="DA78" s="22">
        <f t="shared" si="233"/>
        <v>5.2511415525114158</v>
      </c>
      <c r="DB78" s="22">
        <f t="shared" si="217"/>
        <v>1.6376811594202898</v>
      </c>
      <c r="DC78" s="22">
        <f t="shared" si="218"/>
        <v>66.072423398328695</v>
      </c>
      <c r="DD78" s="22"/>
      <c r="DE78" s="22"/>
      <c r="DF78" s="22">
        <f t="shared" si="219"/>
        <v>28.26771653543307</v>
      </c>
      <c r="DG78" s="19">
        <f t="shared" si="220"/>
        <v>16.235294117647058</v>
      </c>
      <c r="DH78" s="20">
        <f t="shared" si="221"/>
        <v>200.14365145228214</v>
      </c>
      <c r="DI78" s="19">
        <f t="shared" si="222"/>
        <v>1.7646629371584861</v>
      </c>
      <c r="DJ78" s="22">
        <f t="shared" si="234"/>
        <v>1205</v>
      </c>
      <c r="DK78" s="22">
        <f t="shared" si="235"/>
        <v>124.48347107438016</v>
      </c>
      <c r="DL78" s="22">
        <f t="shared" si="236"/>
        <v>7.093852598211253</v>
      </c>
      <c r="DM78" s="22">
        <f t="shared" si="223"/>
        <v>189.76377952755905</v>
      </c>
      <c r="DN78" s="22">
        <f t="shared" si="224"/>
        <v>17.244094488188974</v>
      </c>
      <c r="DO78" s="22"/>
      <c r="DP78" s="20">
        <f t="shared" si="237"/>
        <v>2168.5039370078739</v>
      </c>
      <c r="DQ78" s="22">
        <f t="shared" si="238"/>
        <v>14.967391304347826</v>
      </c>
      <c r="DR78" s="22">
        <f t="shared" si="239"/>
        <v>34.973657085195235</v>
      </c>
      <c r="DS78" s="19">
        <f t="shared" si="240"/>
        <v>1.0262344176012657</v>
      </c>
      <c r="DT78" s="23">
        <f t="shared" si="241"/>
        <v>3.6310820624546115E-4</v>
      </c>
      <c r="DU78" s="22">
        <f t="shared" si="225"/>
        <v>26.588235294117649</v>
      </c>
      <c r="DV78" s="22"/>
      <c r="DW78" s="22">
        <f t="shared" si="226"/>
        <v>0.21505629489537625</v>
      </c>
      <c r="DX78" s="22">
        <f t="shared" si="227"/>
        <v>61.061946902654867</v>
      </c>
      <c r="DY78" s="22">
        <f t="shared" si="228"/>
        <v>7.9424778761061949</v>
      </c>
      <c r="DZ78" s="19">
        <f t="shared" si="242"/>
        <v>0.54565481730749166</v>
      </c>
      <c r="EA78" s="23"/>
      <c r="EB78" s="19">
        <f t="shared" si="229"/>
        <v>0.13007246376811593</v>
      </c>
      <c r="EC78" s="19">
        <f t="shared" si="230"/>
        <v>0.14088373121632161</v>
      </c>
      <c r="EE78" s="19">
        <f t="shared" si="187"/>
        <v>38.836072197165208</v>
      </c>
      <c r="EF78" s="19">
        <f t="shared" si="188"/>
        <v>4.9678839700195407</v>
      </c>
      <c r="EG78" s="19">
        <f t="shared" si="189"/>
        <v>7.5755077136190092</v>
      </c>
      <c r="EH78" s="19">
        <f t="shared" si="190"/>
        <v>15.010018222445762</v>
      </c>
      <c r="EI78" s="19">
        <f t="shared" si="191"/>
        <v>0.23705670396358805</v>
      </c>
      <c r="EJ78" s="19">
        <f t="shared" si="192"/>
        <v>9.6780976096438778</v>
      </c>
      <c r="EK78" s="19">
        <f t="shared" si="193"/>
        <v>15.027333668648321</v>
      </c>
      <c r="EL78" s="19">
        <f t="shared" si="194"/>
        <v>1.4635674766447611</v>
      </c>
      <c r="EM78" s="19">
        <f t="shared" si="195"/>
        <v>5.9882584783845498</v>
      </c>
      <c r="EN78" s="19">
        <f t="shared" si="196"/>
        <v>1.2162039594653649</v>
      </c>
      <c r="EO78" s="19">
        <f t="shared" si="197"/>
        <v>99.999999999999986</v>
      </c>
      <c r="EP78" s="19"/>
    </row>
    <row r="79" spans="1:152">
      <c r="A79" s="1" t="s">
        <v>7</v>
      </c>
      <c r="B79" s="1" t="s">
        <v>32</v>
      </c>
      <c r="C79" s="36">
        <v>2</v>
      </c>
      <c r="D79" s="1" t="s">
        <v>30</v>
      </c>
      <c r="E79" s="1" t="s">
        <v>4</v>
      </c>
      <c r="F79" s="2" t="s">
        <v>3</v>
      </c>
      <c r="G79" s="14">
        <v>36.369999999999997</v>
      </c>
      <c r="H79" s="14">
        <v>4.8499999999999996</v>
      </c>
      <c r="I79" s="14">
        <v>6.13</v>
      </c>
      <c r="J79" s="14">
        <v>12.798300000000001</v>
      </c>
      <c r="K79" s="14">
        <v>0.23</v>
      </c>
      <c r="L79" s="14">
        <v>13.21</v>
      </c>
      <c r="M79" s="14">
        <v>16.45</v>
      </c>
      <c r="N79" s="14">
        <v>2.02</v>
      </c>
      <c r="O79" s="14">
        <v>4.12</v>
      </c>
      <c r="P79" s="14"/>
      <c r="Q79" s="14">
        <v>3.47</v>
      </c>
      <c r="R79" s="14"/>
      <c r="S79" s="15">
        <f t="shared" si="134"/>
        <v>99.648300000000006</v>
      </c>
      <c r="U79" s="86">
        <v>0.70481000000000005</v>
      </c>
      <c r="V79" s="86">
        <v>0.51253000000000004</v>
      </c>
      <c r="W79" s="84">
        <v>19.565999999999999</v>
      </c>
      <c r="X79" s="84">
        <v>15.702</v>
      </c>
      <c r="Y79" s="84">
        <v>40.186</v>
      </c>
      <c r="Z79" s="131">
        <v>2.0538689563528569</v>
      </c>
      <c r="AA79" s="131">
        <v>0.80251456608402338</v>
      </c>
      <c r="AB79" s="14">
        <v>9.0045599999999837</v>
      </c>
      <c r="AC79" s="14">
        <v>90.370599999999968</v>
      </c>
      <c r="AD79" s="14"/>
      <c r="AF79" s="19">
        <f t="shared" si="149"/>
        <v>0.70635460739397737</v>
      </c>
      <c r="AG79" s="20">
        <f t="shared" si="150"/>
        <v>29075.749999999996</v>
      </c>
      <c r="AH79" s="20">
        <f t="shared" si="135"/>
        <v>34204.239999999998</v>
      </c>
      <c r="AI79" s="20"/>
      <c r="AJ79" s="19">
        <f t="shared" si="136"/>
        <v>6.1400000000000006</v>
      </c>
      <c r="AK79" s="19">
        <f t="shared" si="152"/>
        <v>2.0396039603960396</v>
      </c>
      <c r="AL79" s="19">
        <f t="shared" si="153"/>
        <v>0.49029126213592233</v>
      </c>
      <c r="AM79" s="19">
        <f t="shared" si="154"/>
        <v>2.6835236541598695</v>
      </c>
      <c r="AN79" s="19">
        <f t="shared" si="155"/>
        <v>0.67210440456769982</v>
      </c>
      <c r="AO79" s="19">
        <f t="shared" si="156"/>
        <v>1.2695581634519282</v>
      </c>
      <c r="AP79" s="19">
        <f t="shared" si="157"/>
        <v>0.78767560934821634</v>
      </c>
      <c r="AQ79" s="19">
        <f t="shared" si="158"/>
        <v>0.16264081653176057</v>
      </c>
      <c r="AR79" s="19">
        <f t="shared" si="159"/>
        <v>1.2695581634519282</v>
      </c>
      <c r="AS79" s="118">
        <f t="shared" si="160"/>
        <v>478.78561639104277</v>
      </c>
      <c r="AT79" s="118">
        <f t="shared" si="161"/>
        <v>2636.5740440992245</v>
      </c>
      <c r="AU79" s="14">
        <f t="shared" si="162"/>
        <v>0.11328017596920539</v>
      </c>
      <c r="AV79" s="14">
        <f t="shared" si="163"/>
        <v>0.72747096698219393</v>
      </c>
      <c r="AX79" s="118">
        <v>112</v>
      </c>
      <c r="AY79" s="118">
        <v>2537</v>
      </c>
      <c r="AZ79" s="118">
        <v>1954</v>
      </c>
      <c r="BB79" s="118"/>
      <c r="BC79" s="118">
        <v>203</v>
      </c>
      <c r="BD79" s="118">
        <v>372</v>
      </c>
      <c r="BE79" s="118"/>
      <c r="BF79" s="118">
        <v>208</v>
      </c>
      <c r="BG79" s="118"/>
      <c r="BH79" s="118">
        <v>119</v>
      </c>
      <c r="BI79" s="118">
        <v>16</v>
      </c>
      <c r="BJ79" s="118">
        <v>315</v>
      </c>
      <c r="BK79" s="118">
        <v>244</v>
      </c>
      <c r="BL79" s="117"/>
      <c r="BM79" s="117"/>
      <c r="BN79" s="117">
        <v>244</v>
      </c>
      <c r="BO79" s="117">
        <v>347</v>
      </c>
      <c r="BP79" s="117">
        <v>52.1</v>
      </c>
      <c r="BQ79" s="117">
        <v>188</v>
      </c>
      <c r="BR79" s="14">
        <v>21.7</v>
      </c>
      <c r="BS79" s="14">
        <v>5.94</v>
      </c>
      <c r="BT79" s="117">
        <v>13.7</v>
      </c>
      <c r="BU79" s="14">
        <v>1.69</v>
      </c>
      <c r="BV79" s="14">
        <v>6.25</v>
      </c>
      <c r="BW79" s="14">
        <v>0.7</v>
      </c>
      <c r="BX79" s="14">
        <v>1.55</v>
      </c>
      <c r="BY79" s="14">
        <v>0.21</v>
      </c>
      <c r="BZ79" s="14">
        <v>1.1599999999999999</v>
      </c>
      <c r="CA79" s="14">
        <v>0.17</v>
      </c>
      <c r="CB79" s="117">
        <v>9.09</v>
      </c>
      <c r="CC79" s="117">
        <v>33.4</v>
      </c>
      <c r="CD79" s="118">
        <v>7.3</v>
      </c>
      <c r="CE79" s="118"/>
      <c r="CG79" s="22">
        <f t="shared" si="199"/>
        <v>1008.2644628099174</v>
      </c>
      <c r="CH79" s="22">
        <f t="shared" si="200"/>
        <v>546.45669291338584</v>
      </c>
      <c r="CI79" s="22">
        <f t="shared" si="201"/>
        <v>541.01765316718593</v>
      </c>
      <c r="CJ79" s="22">
        <f t="shared" si="231"/>
        <v>391.66666666666669</v>
      </c>
      <c r="CK79" s="22">
        <f t="shared" si="232"/>
        <v>139.10256410256409</v>
      </c>
      <c r="CL79" s="22">
        <f t="shared" si="202"/>
        <v>100.50761421319798</v>
      </c>
      <c r="CM79" s="22">
        <f t="shared" si="203"/>
        <v>64.622641509433961</v>
      </c>
      <c r="CN79" s="22">
        <f t="shared" si="204"/>
        <v>44.946808510638292</v>
      </c>
      <c r="CO79" s="22">
        <f t="shared" si="205"/>
        <v>24.131274131274129</v>
      </c>
      <c r="CP79" s="22">
        <f t="shared" si="206"/>
        <v>11.965811965811964</v>
      </c>
      <c r="CQ79" s="22">
        <f t="shared" si="207"/>
        <v>9.5092024539877293</v>
      </c>
      <c r="CR79" s="22">
        <f t="shared" si="208"/>
        <v>8.203125</v>
      </c>
      <c r="CS79" s="22">
        <f t="shared" si="209"/>
        <v>6.9879518072289146</v>
      </c>
      <c r="CT79" s="22">
        <f t="shared" si="210"/>
        <v>6.8</v>
      </c>
      <c r="CU79" s="22">
        <f t="shared" si="211"/>
        <v>8.0081967213114762</v>
      </c>
      <c r="CV79" s="117">
        <f t="shared" si="212"/>
        <v>8.0081967213114762</v>
      </c>
      <c r="CW79" s="22">
        <f t="shared" si="213"/>
        <v>1</v>
      </c>
      <c r="CX79" s="20">
        <f t="shared" si="214"/>
        <v>119.16290983606555</v>
      </c>
      <c r="CY79" s="22">
        <f t="shared" si="215"/>
        <v>38.173817381738175</v>
      </c>
      <c r="CZ79" s="22">
        <f t="shared" si="216"/>
        <v>33.424657534246577</v>
      </c>
      <c r="DA79" s="22">
        <f t="shared" si="233"/>
        <v>5.161290322580645</v>
      </c>
      <c r="DB79" s="22">
        <f t="shared" si="217"/>
        <v>1.290983606557377</v>
      </c>
      <c r="DC79" s="22">
        <f t="shared" si="218"/>
        <v>58.50299401197605</v>
      </c>
      <c r="DD79" s="22"/>
      <c r="DE79" s="22"/>
      <c r="DF79" s="22">
        <f t="shared" si="219"/>
        <v>28.793103448275861</v>
      </c>
      <c r="DG79" s="19">
        <f t="shared" si="220"/>
        <v>15.25</v>
      </c>
      <c r="DH79" s="20">
        <f t="shared" si="221"/>
        <v>140.18131147540981</v>
      </c>
      <c r="DI79" s="19">
        <f t="shared" si="222"/>
        <v>1.9125391556373705</v>
      </c>
      <c r="DJ79" s="22">
        <f t="shared" si="234"/>
        <v>1435.2941176470588</v>
      </c>
      <c r="DK79" s="22">
        <f t="shared" si="235"/>
        <v>148.27418570734079</v>
      </c>
      <c r="DL79" s="22">
        <f t="shared" si="236"/>
        <v>7.2483528202003287</v>
      </c>
      <c r="DM79" s="22">
        <f t="shared" si="223"/>
        <v>210.34482758620692</v>
      </c>
      <c r="DN79" s="22">
        <f t="shared" si="224"/>
        <v>18.706896551724139</v>
      </c>
      <c r="DO79" s="22"/>
      <c r="DP79" s="20">
        <f t="shared" si="237"/>
        <v>2187.0689655172414</v>
      </c>
      <c r="DQ79" s="22">
        <f t="shared" si="238"/>
        <v>13.49468085106383</v>
      </c>
      <c r="DR79" s="22">
        <f t="shared" si="239"/>
        <v>33.067206267347267</v>
      </c>
      <c r="DS79" s="19">
        <f t="shared" si="240"/>
        <v>1.046241065889925</v>
      </c>
      <c r="DT79" s="23">
        <f t="shared" si="241"/>
        <v>3.9416633819471815E-4</v>
      </c>
      <c r="DU79" s="22">
        <f t="shared" si="225"/>
        <v>19.6875</v>
      </c>
      <c r="DV79" s="22"/>
      <c r="DW79" s="22">
        <f t="shared" si="226"/>
        <v>0.43842394710614752</v>
      </c>
      <c r="DX79" s="22">
        <f t="shared" si="227"/>
        <v>77.460317460317455</v>
      </c>
      <c r="DY79" s="22">
        <f t="shared" si="228"/>
        <v>10.603174603174603</v>
      </c>
      <c r="DZ79" s="19">
        <f t="shared" si="242"/>
        <v>0.67416831689717049</v>
      </c>
      <c r="EA79" s="19"/>
      <c r="EB79" s="19">
        <f t="shared" si="229"/>
        <v>0.13688524590163934</v>
      </c>
      <c r="EC79" s="19">
        <f t="shared" si="230"/>
        <v>0.11609614477623746</v>
      </c>
      <c r="EE79" s="19">
        <f t="shared" si="187"/>
        <v>37.815182842699436</v>
      </c>
      <c r="EF79" s="19">
        <f t="shared" si="188"/>
        <v>5.042717536076224</v>
      </c>
      <c r="EG79" s="19">
        <f t="shared" si="189"/>
        <v>6.3735790713705684</v>
      </c>
      <c r="EH79" s="19">
        <f t="shared" si="190"/>
        <v>13.306847802466876</v>
      </c>
      <c r="EI79" s="19">
        <f t="shared" si="191"/>
        <v>0.2391391821232024</v>
      </c>
      <c r="EJ79" s="19">
        <f t="shared" si="192"/>
        <v>13.734906938467407</v>
      </c>
      <c r="EK79" s="19">
        <f t="shared" si="193"/>
        <v>17.103650199681216</v>
      </c>
      <c r="EL79" s="19">
        <f t="shared" si="194"/>
        <v>2.1002658603863864</v>
      </c>
      <c r="EM79" s="19">
        <f t="shared" si="195"/>
        <v>4.2837105667286695</v>
      </c>
      <c r="EN79" s="19">
        <f t="shared" si="196"/>
        <v>0</v>
      </c>
      <c r="EO79" s="19">
        <f t="shared" si="197"/>
        <v>99.999999999999986</v>
      </c>
      <c r="EP79" s="19"/>
    </row>
    <row r="80" spans="1:152">
      <c r="A80" s="1" t="s">
        <v>7</v>
      </c>
      <c r="B80" s="1" t="s">
        <v>32</v>
      </c>
      <c r="C80" s="1">
        <v>2</v>
      </c>
      <c r="D80" s="1" t="s">
        <v>30</v>
      </c>
      <c r="E80" s="1" t="s">
        <v>22</v>
      </c>
      <c r="F80" s="2" t="s">
        <v>3</v>
      </c>
      <c r="G80" s="14">
        <v>39.880000000000003</v>
      </c>
      <c r="H80" s="14">
        <v>4.8600000000000003</v>
      </c>
      <c r="I80" s="14">
        <v>7.68</v>
      </c>
      <c r="J80" s="14">
        <v>13.209000000000001</v>
      </c>
      <c r="K80" s="14">
        <v>0.14000000000000001</v>
      </c>
      <c r="L80" s="14">
        <v>16.86</v>
      </c>
      <c r="M80" s="14">
        <v>9.57</v>
      </c>
      <c r="N80" s="14">
        <v>0.56000000000000005</v>
      </c>
      <c r="O80" s="14">
        <v>5.61</v>
      </c>
      <c r="P80" s="14">
        <v>0.22</v>
      </c>
      <c r="Q80" s="14">
        <v>2.02</v>
      </c>
      <c r="R80" s="14"/>
      <c r="S80" s="15">
        <f t="shared" si="134"/>
        <v>100.60900000000001</v>
      </c>
      <c r="U80" s="86">
        <v>0.70520000000000005</v>
      </c>
      <c r="V80" s="86">
        <v>0.51249999999999996</v>
      </c>
      <c r="W80" s="84">
        <v>19.283000000000001</v>
      </c>
      <c r="X80" s="84">
        <v>15.737</v>
      </c>
      <c r="Y80" s="84">
        <v>39.991</v>
      </c>
      <c r="Z80" s="131">
        <v>2.0738992895296375</v>
      </c>
      <c r="AA80" s="131">
        <v>0.81610745215993352</v>
      </c>
      <c r="AB80" s="14">
        <v>15.572280000000127</v>
      </c>
      <c r="AC80" s="14">
        <v>105.08529999999965</v>
      </c>
      <c r="AD80" s="14"/>
      <c r="AF80" s="19">
        <f t="shared" si="149"/>
        <v>0.74840587389823354</v>
      </c>
      <c r="AG80" s="20">
        <f t="shared" si="150"/>
        <v>29135.7</v>
      </c>
      <c r="AH80" s="20">
        <f t="shared" si="135"/>
        <v>46574.22</v>
      </c>
      <c r="AI80" s="20">
        <f t="shared" ref="AI80:AI91" si="243">P80*4364</f>
        <v>960.08</v>
      </c>
      <c r="AJ80" s="19">
        <f t="shared" si="136"/>
        <v>6.17</v>
      </c>
      <c r="AK80" s="19">
        <f t="shared" si="152"/>
        <v>10.017857142857142</v>
      </c>
      <c r="AL80" s="19">
        <f t="shared" si="153"/>
        <v>9.9821746880570411E-2</v>
      </c>
      <c r="AM80" s="19">
        <f t="shared" si="154"/>
        <v>1.2460937500000002</v>
      </c>
      <c r="AN80" s="19">
        <f t="shared" si="155"/>
        <v>0.73046875000000011</v>
      </c>
      <c r="AO80" s="19">
        <f t="shared" si="156"/>
        <v>0.91059457413921618</v>
      </c>
      <c r="AP80" s="19">
        <f t="shared" si="157"/>
        <v>1.0981835697245381</v>
      </c>
      <c r="AQ80" s="19">
        <f t="shared" si="158"/>
        <v>0.31484770377906934</v>
      </c>
      <c r="AR80" s="19">
        <f t="shared" si="159"/>
        <v>0.91059457413921618</v>
      </c>
      <c r="AS80" s="118">
        <f t="shared" si="160"/>
        <v>871.3252308612465</v>
      </c>
      <c r="AT80" s="118">
        <f t="shared" si="161"/>
        <v>2040.0514407770825</v>
      </c>
      <c r="AU80" s="14">
        <f t="shared" si="162"/>
        <v>0.14067201604814444</v>
      </c>
      <c r="AV80" s="14">
        <f t="shared" si="163"/>
        <v>0.79064324575371547</v>
      </c>
      <c r="AX80" s="118">
        <v>167</v>
      </c>
      <c r="AY80" s="118">
        <v>1300</v>
      </c>
      <c r="AZ80" s="118">
        <v>2370</v>
      </c>
      <c r="BB80" s="118"/>
      <c r="BC80" s="118">
        <v>152</v>
      </c>
      <c r="BD80" s="118">
        <v>666</v>
      </c>
      <c r="BE80" s="118"/>
      <c r="BF80" s="118">
        <v>373</v>
      </c>
      <c r="BG80" s="118"/>
      <c r="BH80" s="118">
        <v>107</v>
      </c>
      <c r="BI80" s="118">
        <v>10</v>
      </c>
      <c r="BJ80" s="118">
        <v>266</v>
      </c>
      <c r="BK80" s="118">
        <v>145</v>
      </c>
      <c r="BL80" s="117"/>
      <c r="BM80" s="117"/>
      <c r="BN80" s="117">
        <v>118</v>
      </c>
      <c r="BO80" s="117">
        <v>222</v>
      </c>
      <c r="BP80" s="117">
        <v>24</v>
      </c>
      <c r="BQ80" s="117">
        <v>89</v>
      </c>
      <c r="BR80" s="14">
        <v>11.7</v>
      </c>
      <c r="BS80" s="14">
        <v>3.25</v>
      </c>
      <c r="BT80" s="117">
        <v>7.51</v>
      </c>
      <c r="BU80" s="14">
        <v>0.95</v>
      </c>
      <c r="BV80" s="14">
        <v>3.51</v>
      </c>
      <c r="BW80" s="14">
        <v>0.45</v>
      </c>
      <c r="BX80" s="14">
        <v>1.1100000000000001</v>
      </c>
      <c r="BY80" s="14">
        <v>0.14000000000000001</v>
      </c>
      <c r="BZ80" s="14">
        <v>0.77</v>
      </c>
      <c r="CA80" s="14">
        <v>0.13</v>
      </c>
      <c r="CB80" s="117">
        <v>4.96</v>
      </c>
      <c r="CC80" s="117">
        <v>14.6</v>
      </c>
      <c r="CD80" s="118">
        <v>3.13</v>
      </c>
      <c r="CE80" s="118"/>
      <c r="CG80" s="22">
        <f t="shared" si="199"/>
        <v>487.60330578512401</v>
      </c>
      <c r="CH80" s="22">
        <f t="shared" si="200"/>
        <v>349.6062992125984</v>
      </c>
      <c r="CI80" s="22">
        <f t="shared" si="201"/>
        <v>249.22118380062307</v>
      </c>
      <c r="CJ80" s="22">
        <f t="shared" si="231"/>
        <v>185.41666666666669</v>
      </c>
      <c r="CK80" s="22">
        <f t="shared" si="232"/>
        <v>75</v>
      </c>
      <c r="CL80" s="22">
        <f t="shared" si="202"/>
        <v>54.991539763113366</v>
      </c>
      <c r="CM80" s="22">
        <f t="shared" si="203"/>
        <v>35.424528301886795</v>
      </c>
      <c r="CN80" s="22">
        <f t="shared" si="204"/>
        <v>25.265957446808507</v>
      </c>
      <c r="CO80" s="22">
        <f t="shared" si="205"/>
        <v>13.55212355212355</v>
      </c>
      <c r="CP80" s="22">
        <f t="shared" si="206"/>
        <v>7.6923076923076916</v>
      </c>
      <c r="CQ80" s="22">
        <f t="shared" si="207"/>
        <v>6.8098159509202461</v>
      </c>
      <c r="CR80" s="22">
        <f t="shared" si="208"/>
        <v>5.46875</v>
      </c>
      <c r="CS80" s="22">
        <f t="shared" si="209"/>
        <v>4.6385542168674698</v>
      </c>
      <c r="CT80" s="22">
        <f t="shared" si="210"/>
        <v>5.2</v>
      </c>
      <c r="CU80" s="22">
        <f t="shared" si="211"/>
        <v>16.344827586206897</v>
      </c>
      <c r="CV80" s="117">
        <f t="shared" si="212"/>
        <v>20.084745762711865</v>
      </c>
      <c r="CW80" s="22">
        <f t="shared" si="213"/>
        <v>0.81379310344827582</v>
      </c>
      <c r="CX80" s="20">
        <f t="shared" si="214"/>
        <v>200.93586206896552</v>
      </c>
      <c r="CY80" s="22">
        <f t="shared" si="215"/>
        <v>44.758064516129032</v>
      </c>
      <c r="CZ80" s="22">
        <f t="shared" si="216"/>
        <v>46.325878594249204</v>
      </c>
      <c r="DA80" s="22">
        <f t="shared" si="233"/>
        <v>14.273504273504274</v>
      </c>
      <c r="DB80" s="22">
        <f t="shared" si="217"/>
        <v>1.8344827586206895</v>
      </c>
      <c r="DC80" s="22">
        <f t="shared" si="218"/>
        <v>162.32876712328766</v>
      </c>
      <c r="DD80" s="22"/>
      <c r="DE80" s="22"/>
      <c r="DF80" s="22">
        <f t="shared" si="219"/>
        <v>18.961038961038959</v>
      </c>
      <c r="DG80" s="19">
        <f t="shared" si="220"/>
        <v>14.5</v>
      </c>
      <c r="DH80" s="20">
        <f t="shared" si="221"/>
        <v>394.69677966101693</v>
      </c>
      <c r="DI80" s="19">
        <f t="shared" si="222"/>
        <v>1.4874588153382426</v>
      </c>
      <c r="DJ80" s="22">
        <f t="shared" si="234"/>
        <v>907.69230769230762</v>
      </c>
      <c r="DK80" s="22">
        <f t="shared" si="235"/>
        <v>93.769866497139233</v>
      </c>
      <c r="DL80" s="22">
        <f t="shared" si="236"/>
        <v>6.5013774104683204</v>
      </c>
      <c r="DM80" s="22">
        <f t="shared" si="223"/>
        <v>153.24675324675323</v>
      </c>
      <c r="DN80" s="22">
        <f t="shared" si="224"/>
        <v>15.194805194805193</v>
      </c>
      <c r="DO80" s="22"/>
      <c r="DP80" s="20">
        <f t="shared" si="237"/>
        <v>1688.3116883116884</v>
      </c>
      <c r="DQ80" s="22">
        <f t="shared" si="238"/>
        <v>14.606741573033707</v>
      </c>
      <c r="DR80" s="22">
        <f t="shared" si="239"/>
        <v>31.167189435245827</v>
      </c>
      <c r="DS80" s="19">
        <f t="shared" si="240"/>
        <v>1.0529455890285753</v>
      </c>
      <c r="DT80" s="23">
        <f t="shared" si="241"/>
        <v>7.6923076923076923E-4</v>
      </c>
      <c r="DU80" s="22">
        <f t="shared" si="225"/>
        <v>26.6</v>
      </c>
      <c r="DV80" s="22"/>
      <c r="DW80" s="22">
        <f t="shared" si="226"/>
        <v>0.16559525990332613</v>
      </c>
      <c r="DX80" s="22">
        <f t="shared" si="227"/>
        <v>54.511278195488721</v>
      </c>
      <c r="DY80" s="22">
        <f t="shared" si="228"/>
        <v>5.488721804511278</v>
      </c>
      <c r="DZ80" s="19">
        <f t="shared" si="242"/>
        <v>0.7466896369309417</v>
      </c>
      <c r="EA80" s="19"/>
      <c r="EB80" s="19">
        <f t="shared" si="229"/>
        <v>0.10068965517241379</v>
      </c>
      <c r="EC80" s="19">
        <f t="shared" si="230"/>
        <v>0.11669092501267463</v>
      </c>
      <c r="EE80" s="19">
        <f t="shared" si="187"/>
        <v>40.450760226800149</v>
      </c>
      <c r="EF80" s="19">
        <f t="shared" si="188"/>
        <v>4.9295560356632082</v>
      </c>
      <c r="EG80" s="19">
        <f t="shared" si="189"/>
        <v>7.7899157106776604</v>
      </c>
      <c r="EH80" s="19">
        <f t="shared" si="190"/>
        <v>13.398046435200682</v>
      </c>
      <c r="EI80" s="19">
        <f t="shared" si="191"/>
        <v>0.14200367180922821</v>
      </c>
      <c r="EJ80" s="19">
        <f t="shared" si="192"/>
        <v>17.101299333597051</v>
      </c>
      <c r="EK80" s="19">
        <f t="shared" si="193"/>
        <v>9.7069652801022421</v>
      </c>
      <c r="EL80" s="19">
        <f t="shared" si="194"/>
        <v>0.56801468723691284</v>
      </c>
      <c r="EM80" s="19">
        <f t="shared" si="195"/>
        <v>5.6902899917840726</v>
      </c>
      <c r="EN80" s="19">
        <f t="shared" si="196"/>
        <v>0.22314862712878716</v>
      </c>
      <c r="EO80" s="19">
        <f t="shared" si="197"/>
        <v>100</v>
      </c>
      <c r="EP80" s="19"/>
    </row>
    <row r="81" spans="1:146">
      <c r="A81" s="1" t="s">
        <v>7</v>
      </c>
      <c r="B81" s="1" t="s">
        <v>32</v>
      </c>
      <c r="C81" s="36">
        <v>2</v>
      </c>
      <c r="D81" s="1" t="s">
        <v>30</v>
      </c>
      <c r="E81" s="1" t="s">
        <v>22</v>
      </c>
      <c r="F81" s="2" t="s">
        <v>3</v>
      </c>
      <c r="G81" s="14">
        <v>38.979999999999997</v>
      </c>
      <c r="H81" s="14">
        <v>4.7300000000000004</v>
      </c>
      <c r="I81" s="14">
        <v>6.77</v>
      </c>
      <c r="J81" s="14">
        <v>13.6197</v>
      </c>
      <c r="K81" s="14">
        <v>0.15</v>
      </c>
      <c r="L81" s="14">
        <v>17.350000000000001</v>
      </c>
      <c r="M81" s="14">
        <v>11.2</v>
      </c>
      <c r="N81" s="14">
        <v>0.89</v>
      </c>
      <c r="O81" s="14">
        <v>4.51</v>
      </c>
      <c r="P81" s="14">
        <v>0.66</v>
      </c>
      <c r="Q81" s="14">
        <v>3.13</v>
      </c>
      <c r="R81" s="14"/>
      <c r="S81" s="15">
        <f t="shared" si="134"/>
        <v>101.98969999999998</v>
      </c>
      <c r="U81" s="86">
        <v>0.70515000000000005</v>
      </c>
      <c r="V81" s="86">
        <v>0.51249</v>
      </c>
      <c r="W81" s="84">
        <v>19.382999999999999</v>
      </c>
      <c r="X81" s="84">
        <v>15.718999999999999</v>
      </c>
      <c r="Y81" s="84">
        <v>40.158000000000001</v>
      </c>
      <c r="Z81" s="131">
        <v>2.0718155084352268</v>
      </c>
      <c r="AA81" s="131">
        <v>0.8109683743486561</v>
      </c>
      <c r="AB81" s="14">
        <v>12.688279999999885</v>
      </c>
      <c r="AC81" s="14">
        <v>109.69529999999992</v>
      </c>
      <c r="AD81" s="14"/>
      <c r="AF81" s="19">
        <f t="shared" si="149"/>
        <v>0.74803469475260431</v>
      </c>
      <c r="AG81" s="20">
        <f t="shared" si="150"/>
        <v>28356.350000000002</v>
      </c>
      <c r="AH81" s="20">
        <f t="shared" si="135"/>
        <v>37442.019999999997</v>
      </c>
      <c r="AI81" s="20">
        <f t="shared" si="243"/>
        <v>2880.2400000000002</v>
      </c>
      <c r="AJ81" s="19">
        <f t="shared" si="136"/>
        <v>5.3999999999999995</v>
      </c>
      <c r="AK81" s="19">
        <f t="shared" si="152"/>
        <v>5.0674157303370784</v>
      </c>
      <c r="AL81" s="19">
        <f t="shared" si="153"/>
        <v>0.19733924611973394</v>
      </c>
      <c r="AM81" s="19">
        <f t="shared" si="154"/>
        <v>1.6543574593796158</v>
      </c>
      <c r="AN81" s="19">
        <f t="shared" si="155"/>
        <v>0.6661742983751846</v>
      </c>
      <c r="AO81" s="19">
        <f t="shared" si="156"/>
        <v>0.93731404115231787</v>
      </c>
      <c r="AP81" s="19">
        <f t="shared" si="157"/>
        <v>1.0668782884876205</v>
      </c>
      <c r="AQ81" s="19">
        <f t="shared" si="158"/>
        <v>0.25347710886787678</v>
      </c>
      <c r="AR81" s="19">
        <f t="shared" si="159"/>
        <v>0.93731404115231787</v>
      </c>
      <c r="AS81" s="118">
        <f t="shared" si="160"/>
        <v>947.79566598360952</v>
      </c>
      <c r="AT81" s="118">
        <f t="shared" si="161"/>
        <v>2217.412675496154</v>
      </c>
      <c r="AU81" s="14">
        <f t="shared" si="162"/>
        <v>0.11570035915854285</v>
      </c>
      <c r="AV81" s="14">
        <f t="shared" si="163"/>
        <v>0.72105235098018916</v>
      </c>
      <c r="AX81" s="118">
        <v>140</v>
      </c>
      <c r="AY81" s="118">
        <v>1714</v>
      </c>
      <c r="AZ81" s="118">
        <v>1987</v>
      </c>
      <c r="BB81" s="118"/>
      <c r="BC81" s="118">
        <v>136</v>
      </c>
      <c r="BD81" s="118">
        <v>451</v>
      </c>
      <c r="BE81" s="118"/>
      <c r="BF81" s="118">
        <v>427</v>
      </c>
      <c r="BG81" s="118"/>
      <c r="BH81" s="118">
        <v>112</v>
      </c>
      <c r="BI81" s="118">
        <v>12</v>
      </c>
      <c r="BJ81" s="118">
        <v>333</v>
      </c>
      <c r="BK81" s="118">
        <v>184</v>
      </c>
      <c r="BL81" s="117"/>
      <c r="BM81" s="117"/>
      <c r="BN81" s="117">
        <v>143</v>
      </c>
      <c r="BO81" s="117">
        <v>271</v>
      </c>
      <c r="BP81" s="117">
        <v>29.8</v>
      </c>
      <c r="BQ81" s="117">
        <v>110</v>
      </c>
      <c r="BR81" s="14">
        <v>13.5</v>
      </c>
      <c r="BS81" s="14">
        <v>3.84</v>
      </c>
      <c r="BT81" s="117">
        <v>8.91</v>
      </c>
      <c r="BU81" s="14">
        <v>1.06</v>
      </c>
      <c r="BV81" s="14">
        <v>4.3</v>
      </c>
      <c r="BW81" s="14">
        <v>0.54</v>
      </c>
      <c r="BX81" s="14">
        <v>1.04</v>
      </c>
      <c r="BY81" s="14">
        <v>0.17</v>
      </c>
      <c r="BZ81" s="14">
        <v>0.86</v>
      </c>
      <c r="CA81" s="14">
        <v>0.13</v>
      </c>
      <c r="CB81" s="117">
        <v>6.49</v>
      </c>
      <c r="CC81" s="117">
        <v>19</v>
      </c>
      <c r="CD81" s="118">
        <v>4.26</v>
      </c>
      <c r="CE81" s="118"/>
      <c r="CG81" s="22">
        <f t="shared" si="199"/>
        <v>590.90909090909088</v>
      </c>
      <c r="CH81" s="22">
        <f t="shared" si="200"/>
        <v>426.77165354330708</v>
      </c>
      <c r="CI81" s="22">
        <f t="shared" si="201"/>
        <v>309.44963655244032</v>
      </c>
      <c r="CJ81" s="22">
        <f t="shared" si="231"/>
        <v>229.16666666666669</v>
      </c>
      <c r="CK81" s="22">
        <f t="shared" si="232"/>
        <v>86.538461538461533</v>
      </c>
      <c r="CL81" s="22">
        <f t="shared" si="202"/>
        <v>64.974619289340097</v>
      </c>
      <c r="CM81" s="22">
        <f t="shared" si="203"/>
        <v>42.028301886792455</v>
      </c>
      <c r="CN81" s="22">
        <f t="shared" si="204"/>
        <v>28.191489361702128</v>
      </c>
      <c r="CO81" s="22">
        <f t="shared" si="205"/>
        <v>16.602316602316602</v>
      </c>
      <c r="CP81" s="22">
        <f t="shared" si="206"/>
        <v>9.2307692307692317</v>
      </c>
      <c r="CQ81" s="22">
        <f t="shared" si="207"/>
        <v>6.3803680981595088</v>
      </c>
      <c r="CR81" s="22">
        <f t="shared" si="208"/>
        <v>6.640625</v>
      </c>
      <c r="CS81" s="22">
        <f t="shared" si="209"/>
        <v>5.1807228915662646</v>
      </c>
      <c r="CT81" s="22">
        <f t="shared" si="210"/>
        <v>5.2</v>
      </c>
      <c r="CU81" s="22">
        <f t="shared" si="211"/>
        <v>10.798913043478262</v>
      </c>
      <c r="CV81" s="117">
        <f t="shared" si="212"/>
        <v>13.895104895104895</v>
      </c>
      <c r="CW81" s="22">
        <f t="shared" si="213"/>
        <v>0.77717391304347827</v>
      </c>
      <c r="CX81" s="20">
        <f t="shared" si="214"/>
        <v>154.11059782608697</v>
      </c>
      <c r="CY81" s="22">
        <f t="shared" si="215"/>
        <v>41.75654853620955</v>
      </c>
      <c r="CZ81" s="22">
        <f t="shared" si="216"/>
        <v>43.1924882629108</v>
      </c>
      <c r="DA81" s="22">
        <f t="shared" si="233"/>
        <v>10.37037037037037</v>
      </c>
      <c r="DB81" s="22">
        <f t="shared" si="217"/>
        <v>1.8097826086956521</v>
      </c>
      <c r="DC81" s="22">
        <f t="shared" si="218"/>
        <v>104.57894736842105</v>
      </c>
      <c r="DD81" s="22"/>
      <c r="DE81" s="22"/>
      <c r="DF81" s="22">
        <f t="shared" si="219"/>
        <v>22.093023255813954</v>
      </c>
      <c r="DG81" s="19">
        <f t="shared" si="220"/>
        <v>15.333333333333334</v>
      </c>
      <c r="DH81" s="20">
        <f t="shared" si="221"/>
        <v>261.83230769230767</v>
      </c>
      <c r="DI81" s="19">
        <f t="shared" si="222"/>
        <v>1.8044934065853848</v>
      </c>
      <c r="DJ81" s="22">
        <f t="shared" si="234"/>
        <v>1100</v>
      </c>
      <c r="DK81" s="22">
        <f t="shared" si="235"/>
        <v>113.63636363636363</v>
      </c>
      <c r="DL81" s="22">
        <f t="shared" si="236"/>
        <v>6.8282828282828287</v>
      </c>
      <c r="DM81" s="22">
        <f t="shared" si="223"/>
        <v>166.27906976744185</v>
      </c>
      <c r="DN81" s="22">
        <f t="shared" si="224"/>
        <v>15.697674418604651</v>
      </c>
      <c r="DO81" s="22"/>
      <c r="DP81" s="20">
        <f t="shared" si="237"/>
        <v>1993.0232558139535</v>
      </c>
      <c r="DQ81" s="22">
        <f t="shared" si="238"/>
        <v>15.581818181818182</v>
      </c>
      <c r="DR81" s="22">
        <f t="shared" si="239"/>
        <v>35.121436369828118</v>
      </c>
      <c r="DS81" s="19">
        <f t="shared" si="240"/>
        <v>1.0633125899597904</v>
      </c>
      <c r="DT81" s="23">
        <f t="shared" si="241"/>
        <v>5.8343057176196028E-4</v>
      </c>
      <c r="DU81" s="22">
        <f t="shared" si="225"/>
        <v>27.75</v>
      </c>
      <c r="DV81" s="22"/>
      <c r="DW81" s="22">
        <f t="shared" si="226"/>
        <v>0.15457164104121768</v>
      </c>
      <c r="DX81" s="22">
        <f t="shared" si="227"/>
        <v>55.255255255255257</v>
      </c>
      <c r="DY81" s="22">
        <f t="shared" si="228"/>
        <v>5.7057057057057055</v>
      </c>
      <c r="DZ81" s="19">
        <f t="shared" si="242"/>
        <v>0.6609793883386208</v>
      </c>
      <c r="EA81" s="19"/>
      <c r="EB81" s="19">
        <f t="shared" si="229"/>
        <v>0.10326086956521739</v>
      </c>
      <c r="EC81" s="19">
        <f t="shared" si="230"/>
        <v>0.12401934503391067</v>
      </c>
      <c r="EE81" s="19">
        <f t="shared" si="187"/>
        <v>39.429615910224285</v>
      </c>
      <c r="EF81" s="19">
        <f t="shared" si="188"/>
        <v>4.7845583185059244</v>
      </c>
      <c r="EG81" s="19">
        <f t="shared" si="189"/>
        <v>6.8480887560856454</v>
      </c>
      <c r="EH81" s="19">
        <f t="shared" si="190"/>
        <v>13.776796814070851</v>
      </c>
      <c r="EI81" s="19">
        <f t="shared" si="191"/>
        <v>0.15173017923380308</v>
      </c>
      <c r="EJ81" s="19">
        <f t="shared" si="192"/>
        <v>17.550124064709891</v>
      </c>
      <c r="EK81" s="19">
        <f t="shared" si="193"/>
        <v>11.329186716123962</v>
      </c>
      <c r="EL81" s="19">
        <f t="shared" si="194"/>
        <v>0.90026573012056488</v>
      </c>
      <c r="EM81" s="19">
        <f t="shared" si="195"/>
        <v>4.5620207222963458</v>
      </c>
      <c r="EN81" s="19">
        <f t="shared" si="196"/>
        <v>0.66761278862873352</v>
      </c>
      <c r="EO81" s="19">
        <f t="shared" si="197"/>
        <v>100</v>
      </c>
      <c r="EP81" s="19"/>
    </row>
    <row r="82" spans="1:146">
      <c r="A82" s="1" t="s">
        <v>7</v>
      </c>
      <c r="B82" s="1" t="s">
        <v>32</v>
      </c>
      <c r="C82" s="36">
        <v>2</v>
      </c>
      <c r="D82" s="1" t="s">
        <v>30</v>
      </c>
      <c r="E82" s="1" t="s">
        <v>22</v>
      </c>
      <c r="F82" s="2" t="s">
        <v>3</v>
      </c>
      <c r="G82" s="14">
        <v>41.58</v>
      </c>
      <c r="H82" s="14">
        <v>3.92</v>
      </c>
      <c r="I82" s="14">
        <v>5.68</v>
      </c>
      <c r="J82" s="14">
        <v>13.586400000000001</v>
      </c>
      <c r="K82" s="14">
        <v>0.23</v>
      </c>
      <c r="L82" s="14">
        <v>21.48</v>
      </c>
      <c r="M82" s="14">
        <v>6.52</v>
      </c>
      <c r="N82" s="14">
        <v>1.24</v>
      </c>
      <c r="O82" s="14">
        <v>4.5199999999999996</v>
      </c>
      <c r="P82" s="14">
        <v>0.16</v>
      </c>
      <c r="Q82" s="14">
        <v>1.24</v>
      </c>
      <c r="R82" s="14"/>
      <c r="S82" s="15">
        <f t="shared" si="134"/>
        <v>100.15639999999999</v>
      </c>
      <c r="U82" s="86">
        <v>0.70535999999999999</v>
      </c>
      <c r="V82" s="86">
        <v>0.51254</v>
      </c>
      <c r="W82" s="84">
        <v>19.327999999999999</v>
      </c>
      <c r="X82" s="84">
        <v>15.715</v>
      </c>
      <c r="Y82" s="84">
        <v>39.999000000000002</v>
      </c>
      <c r="Z82" s="131">
        <v>2.0694846854304636</v>
      </c>
      <c r="AA82" s="131">
        <v>0.81306912251655628</v>
      </c>
      <c r="AB82" s="14">
        <v>12.884479999999954</v>
      </c>
      <c r="AC82" s="14">
        <v>100.44480000000036</v>
      </c>
      <c r="AD82" s="14"/>
      <c r="AF82" s="19">
        <f t="shared" si="149"/>
        <v>0.78653019255310996</v>
      </c>
      <c r="AG82" s="20">
        <f t="shared" si="150"/>
        <v>23500.399999999998</v>
      </c>
      <c r="AH82" s="20">
        <f t="shared" si="135"/>
        <v>37525.039999999994</v>
      </c>
      <c r="AI82" s="20">
        <f t="shared" si="243"/>
        <v>698.24</v>
      </c>
      <c r="AJ82" s="19">
        <f t="shared" si="136"/>
        <v>5.76</v>
      </c>
      <c r="AK82" s="19">
        <f t="shared" si="152"/>
        <v>3.6451612903225805</v>
      </c>
      <c r="AL82" s="19">
        <f t="shared" si="153"/>
        <v>0.27433628318584075</v>
      </c>
      <c r="AM82" s="19">
        <f t="shared" si="154"/>
        <v>1.147887323943662</v>
      </c>
      <c r="AN82" s="19">
        <f t="shared" si="155"/>
        <v>0.79577464788732388</v>
      </c>
      <c r="AO82" s="19">
        <f t="shared" si="156"/>
        <v>1.2204588405008454</v>
      </c>
      <c r="AP82" s="19">
        <f t="shared" si="157"/>
        <v>0.81936396936550959</v>
      </c>
      <c r="AQ82" s="19">
        <f t="shared" si="158"/>
        <v>0.30234752257697417</v>
      </c>
      <c r="AR82" s="19">
        <f t="shared" si="159"/>
        <v>1.2204588405008454</v>
      </c>
      <c r="AS82" s="118">
        <f t="shared" si="160"/>
        <v>1015.222369191493</v>
      </c>
      <c r="AT82" s="118">
        <f t="shared" si="161"/>
        <v>1895.5361269238867</v>
      </c>
      <c r="AU82" s="14">
        <f t="shared" si="162"/>
        <v>0.1087061087061087</v>
      </c>
      <c r="AV82" s="14">
        <f t="shared" si="163"/>
        <v>0.86132890762836034</v>
      </c>
      <c r="AX82" s="118">
        <v>154</v>
      </c>
      <c r="AY82" s="118">
        <v>860</v>
      </c>
      <c r="AZ82" s="118">
        <v>1207</v>
      </c>
      <c r="BB82" s="118"/>
      <c r="BC82" s="118">
        <v>142</v>
      </c>
      <c r="BD82" s="118">
        <v>1169</v>
      </c>
      <c r="BE82" s="118"/>
      <c r="BF82" s="118">
        <v>758</v>
      </c>
      <c r="BG82" s="118"/>
      <c r="BH82" s="118">
        <v>99</v>
      </c>
      <c r="BI82" s="118">
        <v>6.9</v>
      </c>
      <c r="BJ82" s="118">
        <v>153</v>
      </c>
      <c r="BK82" s="118">
        <v>94</v>
      </c>
      <c r="BL82" s="117"/>
      <c r="BM82" s="117"/>
      <c r="BN82" s="117">
        <v>68</v>
      </c>
      <c r="BO82" s="117">
        <v>132</v>
      </c>
      <c r="BP82" s="117">
        <v>14</v>
      </c>
      <c r="BQ82" s="117">
        <v>50</v>
      </c>
      <c r="BR82" s="14">
        <v>6.53</v>
      </c>
      <c r="BS82" s="14">
        <v>1.81</v>
      </c>
      <c r="BT82" s="117">
        <v>4.3499999999999996</v>
      </c>
      <c r="BU82" s="14">
        <v>0.55000000000000004</v>
      </c>
      <c r="BV82" s="14">
        <v>2.11</v>
      </c>
      <c r="BW82" s="14">
        <v>0.31</v>
      </c>
      <c r="BX82" s="14">
        <v>0.69</v>
      </c>
      <c r="BY82" s="14">
        <v>0.11</v>
      </c>
      <c r="BZ82" s="14">
        <v>0.55000000000000004</v>
      </c>
      <c r="CA82" s="14">
        <v>0.12</v>
      </c>
      <c r="CB82" s="117">
        <v>3.83</v>
      </c>
      <c r="CC82" s="117">
        <v>9.58</v>
      </c>
      <c r="CD82" s="118">
        <v>1.91</v>
      </c>
      <c r="CE82" s="118"/>
      <c r="CG82" s="22">
        <f t="shared" si="199"/>
        <v>280.9917355371901</v>
      </c>
      <c r="CH82" s="22">
        <f t="shared" si="200"/>
        <v>207.8740157480315</v>
      </c>
      <c r="CI82" s="22">
        <f t="shared" si="201"/>
        <v>145.37902388369679</v>
      </c>
      <c r="CJ82" s="22">
        <f t="shared" si="231"/>
        <v>104.16666666666667</v>
      </c>
      <c r="CK82" s="22">
        <f t="shared" si="232"/>
        <v>41.858974358974358</v>
      </c>
      <c r="CL82" s="22">
        <f t="shared" si="202"/>
        <v>30.626057529610829</v>
      </c>
      <c r="CM82" s="22">
        <f t="shared" si="203"/>
        <v>20.518867924528301</v>
      </c>
      <c r="CN82" s="22">
        <f t="shared" si="204"/>
        <v>14.627659574468085</v>
      </c>
      <c r="CO82" s="22">
        <f t="shared" si="205"/>
        <v>8.1467181467181469</v>
      </c>
      <c r="CP82" s="22">
        <f t="shared" si="206"/>
        <v>5.299145299145299</v>
      </c>
      <c r="CQ82" s="22">
        <f t="shared" si="207"/>
        <v>4.2331288343558278</v>
      </c>
      <c r="CR82" s="22">
        <f t="shared" si="208"/>
        <v>4.296875</v>
      </c>
      <c r="CS82" s="22">
        <f t="shared" si="209"/>
        <v>3.3132530120481927</v>
      </c>
      <c r="CT82" s="22">
        <f t="shared" si="210"/>
        <v>4.8</v>
      </c>
      <c r="CU82" s="22">
        <f t="shared" si="211"/>
        <v>12.840425531914894</v>
      </c>
      <c r="CV82" s="117">
        <f t="shared" si="212"/>
        <v>17.75</v>
      </c>
      <c r="CW82" s="22">
        <f t="shared" si="213"/>
        <v>0.72340425531914898</v>
      </c>
      <c r="CX82" s="20">
        <f t="shared" si="214"/>
        <v>250.00425531914891</v>
      </c>
      <c r="CY82" s="22">
        <f t="shared" si="215"/>
        <v>34.464751958224539</v>
      </c>
      <c r="CZ82" s="22">
        <f t="shared" si="216"/>
        <v>49.214659685863879</v>
      </c>
      <c r="DA82" s="22">
        <f t="shared" si="233"/>
        <v>23.583460949464012</v>
      </c>
      <c r="DB82" s="22">
        <f t="shared" si="217"/>
        <v>1.6276595744680851</v>
      </c>
      <c r="DC82" s="22">
        <f t="shared" si="218"/>
        <v>125.99164926931107</v>
      </c>
      <c r="DD82" s="22"/>
      <c r="DE82" s="22"/>
      <c r="DF82" s="22">
        <f t="shared" si="219"/>
        <v>17.418181818181818</v>
      </c>
      <c r="DG82" s="19">
        <f t="shared" si="220"/>
        <v>13.623188405797102</v>
      </c>
      <c r="DH82" s="20">
        <f t="shared" si="221"/>
        <v>551.83882352941168</v>
      </c>
      <c r="DI82" s="19">
        <f t="shared" si="222"/>
        <v>1.3752210128613271</v>
      </c>
      <c r="DJ82" s="22">
        <f t="shared" si="234"/>
        <v>566.66666666666674</v>
      </c>
      <c r="DK82" s="22">
        <f t="shared" si="235"/>
        <v>58.539944903581272</v>
      </c>
      <c r="DL82" s="22">
        <f t="shared" si="236"/>
        <v>6.7128194094642657</v>
      </c>
      <c r="DM82" s="22">
        <f t="shared" si="223"/>
        <v>123.63636363636363</v>
      </c>
      <c r="DN82" s="22">
        <f t="shared" si="224"/>
        <v>11.872727272727273</v>
      </c>
      <c r="DO82" s="22"/>
      <c r="DP82" s="20">
        <f t="shared" si="237"/>
        <v>1563.6363636363635</v>
      </c>
      <c r="DQ82" s="22">
        <f t="shared" si="238"/>
        <v>17.2</v>
      </c>
      <c r="DR82" s="22">
        <f t="shared" si="239"/>
        <v>36.263057603867786</v>
      </c>
      <c r="DS82" s="19">
        <f t="shared" si="240"/>
        <v>1.0313660317881945</v>
      </c>
      <c r="DT82" s="23">
        <f t="shared" si="241"/>
        <v>1.1627906976744186E-3</v>
      </c>
      <c r="DU82" s="22">
        <f t="shared" si="225"/>
        <v>22.173913043478258</v>
      </c>
      <c r="DV82" s="22"/>
      <c r="DW82" s="22">
        <f t="shared" si="226"/>
        <v>0.29026146990818402</v>
      </c>
      <c r="DX82" s="22">
        <f t="shared" si="227"/>
        <v>61.437908496732028</v>
      </c>
      <c r="DY82" s="22">
        <f t="shared" si="228"/>
        <v>6.261437908496732</v>
      </c>
      <c r="DZ82" s="19">
        <f t="shared" si="242"/>
        <v>0.76644472997775992</v>
      </c>
      <c r="EA82" s="19"/>
      <c r="EB82" s="19">
        <f t="shared" si="229"/>
        <v>0.10191489361702127</v>
      </c>
      <c r="EC82" s="19">
        <f t="shared" si="230"/>
        <v>0.15299784179015744</v>
      </c>
      <c r="EE82" s="19">
        <f t="shared" si="187"/>
        <v>42.035496641608468</v>
      </c>
      <c r="EF82" s="19">
        <f t="shared" si="188"/>
        <v>3.9629424443267247</v>
      </c>
      <c r="EG82" s="19">
        <f t="shared" si="189"/>
        <v>5.7422227254530087</v>
      </c>
      <c r="EH82" s="19">
        <f t="shared" si="190"/>
        <v>13.735235006530768</v>
      </c>
      <c r="EI82" s="19">
        <f t="shared" si="191"/>
        <v>0.23251958219263946</v>
      </c>
      <c r="EJ82" s="19">
        <f t="shared" si="192"/>
        <v>21.715307067382152</v>
      </c>
      <c r="EK82" s="19">
        <f t="shared" si="193"/>
        <v>6.5914246778087353</v>
      </c>
      <c r="EL82" s="19">
        <f t="shared" si="194"/>
        <v>1.2535838344298822</v>
      </c>
      <c r="EM82" s="19">
        <f t="shared" si="195"/>
        <v>4.5695152674379571</v>
      </c>
      <c r="EN82" s="19">
        <f t="shared" si="196"/>
        <v>0.16175275282966223</v>
      </c>
      <c r="EO82" s="19">
        <f t="shared" si="197"/>
        <v>99.999999999999986</v>
      </c>
      <c r="EP82" s="19"/>
    </row>
    <row r="83" spans="1:146">
      <c r="A83" s="1" t="s">
        <v>7</v>
      </c>
      <c r="B83" s="1" t="s">
        <v>32</v>
      </c>
      <c r="C83" s="1">
        <v>2</v>
      </c>
      <c r="D83" s="1" t="s">
        <v>30</v>
      </c>
      <c r="E83" s="1" t="s">
        <v>22</v>
      </c>
      <c r="F83" s="2" t="s">
        <v>3</v>
      </c>
      <c r="G83" s="14">
        <v>40.44</v>
      </c>
      <c r="H83" s="14">
        <v>5.0199999999999996</v>
      </c>
      <c r="I83" s="14">
        <v>9.27</v>
      </c>
      <c r="J83" s="14">
        <v>15.828600000000002</v>
      </c>
      <c r="K83" s="14">
        <v>0.2</v>
      </c>
      <c r="L83" s="14">
        <v>9.76</v>
      </c>
      <c r="M83" s="14">
        <v>12.24</v>
      </c>
      <c r="N83" s="14">
        <v>2.61</v>
      </c>
      <c r="O83" s="14">
        <v>4.17</v>
      </c>
      <c r="P83" s="14">
        <v>0.36</v>
      </c>
      <c r="Q83" s="14">
        <v>0.64</v>
      </c>
      <c r="R83" s="14"/>
      <c r="S83" s="15">
        <f t="shared" si="134"/>
        <v>100.53859999999999</v>
      </c>
      <c r="U83" s="86">
        <v>0.70477000000000001</v>
      </c>
      <c r="V83" s="86">
        <v>0.51254999999999995</v>
      </c>
      <c r="W83" s="84">
        <v>18.998000000000001</v>
      </c>
      <c r="X83" s="84">
        <v>15.686</v>
      </c>
      <c r="Y83" s="84">
        <v>39.302999999999997</v>
      </c>
      <c r="Z83" s="131">
        <v>2.0687967154437308</v>
      </c>
      <c r="AA83" s="131">
        <v>0.82566585956416461</v>
      </c>
      <c r="AB83" s="14">
        <v>13.561680000000109</v>
      </c>
      <c r="AC83" s="14">
        <v>70.741799999999699</v>
      </c>
      <c r="AD83" s="14"/>
      <c r="AF83" s="19">
        <f t="shared" si="149"/>
        <v>0.58965919724939175</v>
      </c>
      <c r="AG83" s="20">
        <f t="shared" si="150"/>
        <v>30094.899999999998</v>
      </c>
      <c r="AH83" s="20">
        <f t="shared" si="135"/>
        <v>34619.339999999997</v>
      </c>
      <c r="AI83" s="20">
        <f t="shared" si="243"/>
        <v>1571.04</v>
      </c>
      <c r="AJ83" s="19">
        <f t="shared" si="136"/>
        <v>6.7799999999999994</v>
      </c>
      <c r="AK83" s="19">
        <f t="shared" si="152"/>
        <v>1.5977011494252875</v>
      </c>
      <c r="AL83" s="19">
        <f t="shared" si="153"/>
        <v>0.62589928057553956</v>
      </c>
      <c r="AM83" s="19">
        <f t="shared" si="154"/>
        <v>1.320388349514563</v>
      </c>
      <c r="AN83" s="19">
        <f t="shared" si="155"/>
        <v>0.44983818770226536</v>
      </c>
      <c r="AO83" s="19">
        <f t="shared" si="156"/>
        <v>0.95006343512466029</v>
      </c>
      <c r="AP83" s="19">
        <f t="shared" si="157"/>
        <v>1.0525612954136978</v>
      </c>
      <c r="AQ83" s="19">
        <f t="shared" si="158"/>
        <v>0.29844653434031865</v>
      </c>
      <c r="AR83" s="19">
        <f t="shared" si="159"/>
        <v>0.95006343512466029</v>
      </c>
      <c r="AS83" s="118">
        <f t="shared" si="160"/>
        <v>468.62621401703552</v>
      </c>
      <c r="AT83" s="118">
        <f t="shared" si="161"/>
        <v>1977.7664896089209</v>
      </c>
      <c r="AU83" s="14">
        <f t="shared" si="162"/>
        <v>0.10311572700296737</v>
      </c>
      <c r="AV83" s="14">
        <f t="shared" si="163"/>
        <v>0.48689492163612497</v>
      </c>
      <c r="AX83" s="118">
        <v>112</v>
      </c>
      <c r="AY83" s="118">
        <v>1433</v>
      </c>
      <c r="AZ83" s="118">
        <v>1140</v>
      </c>
      <c r="BB83" s="118"/>
      <c r="BC83" s="118">
        <v>286</v>
      </c>
      <c r="BD83" s="118">
        <v>443</v>
      </c>
      <c r="BE83" s="118"/>
      <c r="BF83" s="118">
        <v>142</v>
      </c>
      <c r="BG83" s="118"/>
      <c r="BH83" s="118">
        <v>125</v>
      </c>
      <c r="BI83" s="118">
        <v>14.5</v>
      </c>
      <c r="BJ83" s="118">
        <v>379</v>
      </c>
      <c r="BK83" s="118">
        <v>166</v>
      </c>
      <c r="BL83" s="117"/>
      <c r="BM83" s="117"/>
      <c r="BN83" s="117">
        <v>133</v>
      </c>
      <c r="BO83" s="117">
        <v>252</v>
      </c>
      <c r="BP83" s="117">
        <v>28.3</v>
      </c>
      <c r="BQ83" s="117">
        <v>100</v>
      </c>
      <c r="BR83" s="14">
        <v>13.7</v>
      </c>
      <c r="BS83" s="14">
        <v>3.61</v>
      </c>
      <c r="BT83" s="117">
        <v>9.2100000000000009</v>
      </c>
      <c r="BU83" s="14">
        <v>1.21</v>
      </c>
      <c r="BV83" s="14">
        <v>4.54</v>
      </c>
      <c r="BW83" s="14">
        <v>0.61</v>
      </c>
      <c r="BX83" s="14">
        <v>1.49</v>
      </c>
      <c r="BY83" s="14">
        <v>0.25</v>
      </c>
      <c r="BZ83" s="14">
        <v>1.1499999999999999</v>
      </c>
      <c r="CA83" s="14">
        <v>0.16</v>
      </c>
      <c r="CB83" s="117">
        <v>1.28</v>
      </c>
      <c r="CC83" s="117">
        <v>16.899999999999999</v>
      </c>
      <c r="CD83" s="118">
        <v>4.0599999999999996</v>
      </c>
      <c r="CE83" s="118"/>
      <c r="CG83" s="22">
        <f t="shared" si="199"/>
        <v>549.5867768595042</v>
      </c>
      <c r="CH83" s="22">
        <f t="shared" si="200"/>
        <v>396.85039370078738</v>
      </c>
      <c r="CI83" s="22">
        <f t="shared" si="201"/>
        <v>293.87331256490137</v>
      </c>
      <c r="CJ83" s="22">
        <f t="shared" si="231"/>
        <v>208.33333333333334</v>
      </c>
      <c r="CK83" s="22">
        <f t="shared" si="232"/>
        <v>87.820512820512818</v>
      </c>
      <c r="CL83" s="22">
        <f t="shared" si="202"/>
        <v>61.082910321489003</v>
      </c>
      <c r="CM83" s="22">
        <f t="shared" si="203"/>
        <v>43.443396226415096</v>
      </c>
      <c r="CN83" s="22">
        <f t="shared" si="204"/>
        <v>32.180851063829785</v>
      </c>
      <c r="CO83" s="22">
        <f t="shared" si="205"/>
        <v>17.528957528957527</v>
      </c>
      <c r="CP83" s="22">
        <f t="shared" si="206"/>
        <v>10.427350427350426</v>
      </c>
      <c r="CQ83" s="22">
        <f t="shared" si="207"/>
        <v>9.1411042944785272</v>
      </c>
      <c r="CR83" s="22">
        <f t="shared" si="208"/>
        <v>9.765625</v>
      </c>
      <c r="CS83" s="22">
        <f t="shared" si="209"/>
        <v>6.9277108433734931</v>
      </c>
      <c r="CT83" s="22">
        <f t="shared" si="210"/>
        <v>6.3999999999999995</v>
      </c>
      <c r="CU83" s="22">
        <f t="shared" si="211"/>
        <v>6.8674698795180724</v>
      </c>
      <c r="CV83" s="117">
        <f t="shared" si="212"/>
        <v>8.5714285714285712</v>
      </c>
      <c r="CW83" s="22">
        <f t="shared" si="213"/>
        <v>0.8012048192771084</v>
      </c>
      <c r="CX83" s="20">
        <f t="shared" si="214"/>
        <v>181.294578313253</v>
      </c>
      <c r="CY83" s="22">
        <f t="shared" si="215"/>
        <v>196.875</v>
      </c>
      <c r="CZ83" s="22">
        <f t="shared" si="216"/>
        <v>40.886699507389167</v>
      </c>
      <c r="DA83" s="22">
        <f t="shared" si="233"/>
        <v>8.1751824817518255</v>
      </c>
      <c r="DB83" s="22">
        <f t="shared" si="217"/>
        <v>2.2831325301204819</v>
      </c>
      <c r="DC83" s="22">
        <f t="shared" si="218"/>
        <v>67.455621301775153</v>
      </c>
      <c r="DD83" s="22"/>
      <c r="DE83" s="22"/>
      <c r="DF83" s="22">
        <f t="shared" si="219"/>
        <v>14.695652173913043</v>
      </c>
      <c r="DG83" s="19">
        <f t="shared" si="220"/>
        <v>11.448275862068966</v>
      </c>
      <c r="DH83" s="20">
        <f t="shared" si="221"/>
        <v>260.29578947368418</v>
      </c>
      <c r="DI83" s="19">
        <f t="shared" si="222"/>
        <v>1.7342335782401508</v>
      </c>
      <c r="DJ83" s="22">
        <f t="shared" si="234"/>
        <v>831.25</v>
      </c>
      <c r="DK83" s="22">
        <f t="shared" si="235"/>
        <v>85.872933884297538</v>
      </c>
      <c r="DL83" s="22">
        <f t="shared" si="236"/>
        <v>6.2580684080352302</v>
      </c>
      <c r="DM83" s="22">
        <f t="shared" si="223"/>
        <v>115.65217391304348</v>
      </c>
      <c r="DN83" s="22">
        <f t="shared" si="224"/>
        <v>11.913043478260869</v>
      </c>
      <c r="DO83" s="22"/>
      <c r="DP83" s="20">
        <f t="shared" si="237"/>
        <v>1246.0869565217392</v>
      </c>
      <c r="DQ83" s="22">
        <f t="shared" si="238"/>
        <v>14.33</v>
      </c>
      <c r="DR83" s="22">
        <f t="shared" si="239"/>
        <v>28.669708643515762</v>
      </c>
      <c r="DS83" s="19">
        <f t="shared" si="240"/>
        <v>0.97600618814330076</v>
      </c>
      <c r="DT83" s="23">
        <f t="shared" si="241"/>
        <v>6.9783670621074664E-4</v>
      </c>
      <c r="DU83" s="22">
        <f t="shared" si="225"/>
        <v>26.137931034482758</v>
      </c>
      <c r="DV83" s="22"/>
      <c r="DW83" s="22">
        <f t="shared" si="226"/>
        <v>7.7579366957533313E-2</v>
      </c>
      <c r="DX83" s="22">
        <f t="shared" si="227"/>
        <v>43.799472295514512</v>
      </c>
      <c r="DY83" s="22">
        <f t="shared" si="228"/>
        <v>4.4591029023746698</v>
      </c>
      <c r="DZ83" s="19">
        <f t="shared" si="242"/>
        <v>0.85501911778739037</v>
      </c>
      <c r="EA83" s="19"/>
      <c r="EB83" s="19">
        <f t="shared" si="229"/>
        <v>0.10180722891566264</v>
      </c>
      <c r="EC83" s="19">
        <f t="shared" si="230"/>
        <v>2.6028790963193337E-2</v>
      </c>
      <c r="EE83" s="19">
        <f t="shared" si="187"/>
        <v>40.481047782451412</v>
      </c>
      <c r="EF83" s="19">
        <f t="shared" si="188"/>
        <v>5.0250954467830384</v>
      </c>
      <c r="EG83" s="19">
        <f t="shared" si="189"/>
        <v>9.2794093210515474</v>
      </c>
      <c r="EH83" s="19">
        <f t="shared" si="190"/>
        <v>15.844666491822711</v>
      </c>
      <c r="EI83" s="19">
        <f t="shared" si="191"/>
        <v>0.20020300584792983</v>
      </c>
      <c r="EJ83" s="19">
        <f t="shared" si="192"/>
        <v>9.7699066853789756</v>
      </c>
      <c r="EK83" s="19">
        <f t="shared" si="193"/>
        <v>12.252423957893305</v>
      </c>
      <c r="EL83" s="19">
        <f t="shared" si="194"/>
        <v>2.6126492263154844</v>
      </c>
      <c r="EM83" s="19">
        <f t="shared" si="195"/>
        <v>4.174232671929337</v>
      </c>
      <c r="EN83" s="19">
        <f t="shared" si="196"/>
        <v>0.36036541052627369</v>
      </c>
      <c r="EO83" s="19">
        <f t="shared" si="197"/>
        <v>99.999999999999986</v>
      </c>
      <c r="EP83" s="19"/>
    </row>
    <row r="84" spans="1:146" s="24" customFormat="1">
      <c r="A84" s="24" t="s">
        <v>7</v>
      </c>
      <c r="B84" s="24" t="s">
        <v>31</v>
      </c>
      <c r="C84" s="24">
        <v>2</v>
      </c>
      <c r="D84" s="24" t="s">
        <v>30</v>
      </c>
      <c r="E84" s="24" t="s">
        <v>12</v>
      </c>
      <c r="F84" s="126" t="s">
        <v>3</v>
      </c>
      <c r="G84" s="26">
        <v>38.700000000000003</v>
      </c>
      <c r="H84" s="26">
        <v>2.96</v>
      </c>
      <c r="I84" s="26">
        <v>7.11</v>
      </c>
      <c r="J84" s="31">
        <v>12.975900000000001</v>
      </c>
      <c r="K84" s="26">
        <v>0.15</v>
      </c>
      <c r="L84" s="26">
        <v>19.89</v>
      </c>
      <c r="M84" s="26">
        <v>10.09</v>
      </c>
      <c r="N84" s="26">
        <v>0.57999999999999996</v>
      </c>
      <c r="O84" s="26">
        <v>5.41</v>
      </c>
      <c r="P84" s="26">
        <v>0.55000000000000004</v>
      </c>
      <c r="Q84" s="26"/>
      <c r="R84" s="26"/>
      <c r="S84" s="27">
        <f t="shared" si="134"/>
        <v>98.415899999999993</v>
      </c>
      <c r="U84" s="100"/>
      <c r="V84" s="100"/>
      <c r="W84" s="137"/>
      <c r="X84" s="137"/>
      <c r="Y84" s="137"/>
      <c r="Z84" s="138"/>
      <c r="AA84" s="138"/>
      <c r="AB84" s="26"/>
      <c r="AC84" s="26"/>
      <c r="AD84" s="26"/>
      <c r="AF84" s="31">
        <f t="shared" si="149"/>
        <v>0.78129107329736558</v>
      </c>
      <c r="AG84" s="32">
        <f t="shared" si="150"/>
        <v>17745.2</v>
      </c>
      <c r="AH84" s="32">
        <f t="shared" si="135"/>
        <v>44913.82</v>
      </c>
      <c r="AI84" s="32">
        <f t="shared" si="243"/>
        <v>2400.2000000000003</v>
      </c>
      <c r="AJ84" s="31">
        <f t="shared" si="136"/>
        <v>5.99</v>
      </c>
      <c r="AK84" s="31">
        <f t="shared" si="152"/>
        <v>9.3275862068965534</v>
      </c>
      <c r="AL84" s="31">
        <f t="shared" si="153"/>
        <v>0.10720887245841033</v>
      </c>
      <c r="AM84" s="31">
        <f t="shared" si="154"/>
        <v>1.419127988748242</v>
      </c>
      <c r="AN84" s="31">
        <f t="shared" si="155"/>
        <v>0.76090014064697609</v>
      </c>
      <c r="AO84" s="31">
        <f t="shared" si="156"/>
        <v>0.95777660777929663</v>
      </c>
      <c r="AP84" s="31">
        <f t="shared" si="157"/>
        <v>1.0440848021112175</v>
      </c>
      <c r="AQ84" s="31">
        <f t="shared" si="158"/>
        <v>0.28265216980802688</v>
      </c>
      <c r="AR84" s="31">
        <f t="shared" si="159"/>
        <v>0.95777660777929663</v>
      </c>
      <c r="AS84" s="127">
        <f t="shared" si="160"/>
        <v>884.58846506656505</v>
      </c>
      <c r="AT84" s="127">
        <f t="shared" si="161"/>
        <v>2241.6016879031426</v>
      </c>
      <c r="AU84" s="26">
        <f t="shared" si="162"/>
        <v>0.13979328165374677</v>
      </c>
      <c r="AV84" s="26">
        <f t="shared" si="163"/>
        <v>0.8235815110442215</v>
      </c>
      <c r="AX84" s="127"/>
      <c r="AY84" s="127"/>
      <c r="AZ84" s="127"/>
      <c r="BA84" s="128"/>
      <c r="BB84" s="127"/>
      <c r="BC84" s="127"/>
      <c r="BD84" s="127"/>
      <c r="BE84" s="127"/>
      <c r="BF84" s="127"/>
      <c r="BG84" s="127"/>
      <c r="BH84" s="127"/>
      <c r="BI84" s="127"/>
      <c r="BJ84" s="127"/>
      <c r="BK84" s="127"/>
      <c r="BL84" s="128"/>
      <c r="BM84" s="128"/>
      <c r="BN84" s="128"/>
      <c r="BO84" s="128"/>
      <c r="BP84" s="128"/>
      <c r="BQ84" s="128"/>
      <c r="BR84" s="26"/>
      <c r="BS84" s="26"/>
      <c r="BT84" s="128"/>
      <c r="BU84" s="26"/>
      <c r="BV84" s="26"/>
      <c r="BW84" s="26"/>
      <c r="BX84" s="26"/>
      <c r="BY84" s="26"/>
      <c r="BZ84" s="26"/>
      <c r="CA84" s="26"/>
      <c r="CB84" s="128"/>
      <c r="CC84" s="128"/>
      <c r="CD84" s="127"/>
      <c r="CE84" s="127"/>
      <c r="CG84" s="34"/>
      <c r="CH84" s="34"/>
      <c r="CI84" s="34"/>
      <c r="CJ84" s="34"/>
      <c r="CK84" s="34"/>
      <c r="CL84" s="34"/>
      <c r="CM84" s="34"/>
      <c r="CN84" s="34"/>
      <c r="CO84" s="34"/>
      <c r="CP84" s="34"/>
      <c r="CQ84" s="34"/>
      <c r="CR84" s="34"/>
      <c r="CS84" s="34"/>
      <c r="CT84" s="34"/>
      <c r="CU84" s="34"/>
      <c r="CV84" s="128"/>
      <c r="CW84" s="34"/>
      <c r="CX84" s="32"/>
      <c r="CY84" s="34"/>
      <c r="CZ84" s="34"/>
      <c r="DA84" s="34"/>
      <c r="DB84" s="34"/>
      <c r="DC84" s="34"/>
      <c r="DD84" s="34"/>
      <c r="DE84" s="34"/>
      <c r="DF84" s="34"/>
      <c r="DG84" s="31"/>
      <c r="DH84" s="32"/>
      <c r="DI84" s="31"/>
      <c r="DJ84" s="34"/>
      <c r="DK84" s="34"/>
      <c r="DL84" s="34"/>
      <c r="DM84" s="34"/>
      <c r="DN84" s="34"/>
      <c r="DO84" s="34"/>
      <c r="DP84" s="32"/>
      <c r="DQ84" s="34"/>
      <c r="DR84" s="34"/>
      <c r="DS84" s="31"/>
      <c r="DT84" s="35"/>
      <c r="DU84" s="34"/>
      <c r="DV84" s="34"/>
      <c r="DW84" s="34"/>
      <c r="DX84" s="34"/>
      <c r="DY84" s="34"/>
      <c r="DZ84" s="31"/>
      <c r="EA84" s="31"/>
      <c r="EB84" s="31"/>
      <c r="EC84" s="31"/>
      <c r="EE84" s="31">
        <f t="shared" si="187"/>
        <v>39.322914285191729</v>
      </c>
      <c r="EF84" s="31">
        <f t="shared" si="188"/>
        <v>3.0076440900301682</v>
      </c>
      <c r="EG84" s="31">
        <f t="shared" si="189"/>
        <v>7.2244423919305722</v>
      </c>
      <c r="EH84" s="31">
        <f t="shared" si="190"/>
        <v>13.184759779669751</v>
      </c>
      <c r="EI84" s="31">
        <f t="shared" si="191"/>
        <v>0.15241439645423149</v>
      </c>
      <c r="EJ84" s="31">
        <f t="shared" si="192"/>
        <v>20.210148969831096</v>
      </c>
      <c r="EK84" s="31">
        <f t="shared" si="193"/>
        <v>10.252408401487971</v>
      </c>
      <c r="EL84" s="31">
        <f t="shared" si="194"/>
        <v>0.58933566628969503</v>
      </c>
      <c r="EM84" s="31">
        <f t="shared" si="195"/>
        <v>5.497079232115949</v>
      </c>
      <c r="EN84" s="31">
        <f t="shared" si="196"/>
        <v>0.55885278699884888</v>
      </c>
      <c r="EO84" s="31">
        <f t="shared" si="197"/>
        <v>100.00000000000003</v>
      </c>
      <c r="EP84" s="31"/>
    </row>
    <row r="85" spans="1:146">
      <c r="A85" s="1" t="s">
        <v>7</v>
      </c>
      <c r="B85" s="1" t="s">
        <v>29</v>
      </c>
      <c r="C85" s="1">
        <v>2</v>
      </c>
      <c r="D85" s="1" t="s">
        <v>17</v>
      </c>
      <c r="E85" s="1" t="s">
        <v>28</v>
      </c>
      <c r="F85" s="2" t="s">
        <v>3</v>
      </c>
      <c r="G85" s="14">
        <v>33.89</v>
      </c>
      <c r="H85" s="14">
        <v>4.43</v>
      </c>
      <c r="I85" s="14">
        <v>8.27</v>
      </c>
      <c r="J85" s="14">
        <v>12.8131</v>
      </c>
      <c r="K85" s="14">
        <v>0.26</v>
      </c>
      <c r="L85" s="14">
        <v>10.93</v>
      </c>
      <c r="M85" s="14">
        <v>16.98</v>
      </c>
      <c r="N85" s="14">
        <v>1.42</v>
      </c>
      <c r="O85" s="14">
        <v>3.65</v>
      </c>
      <c r="P85" s="14">
        <v>0.97</v>
      </c>
      <c r="Q85" s="14"/>
      <c r="R85" s="14">
        <v>3.27</v>
      </c>
      <c r="S85" s="15">
        <f t="shared" si="134"/>
        <v>93.613100000000003</v>
      </c>
      <c r="U85" s="86"/>
      <c r="V85" s="86"/>
      <c r="W85" s="84"/>
      <c r="X85" s="84"/>
      <c r="Y85" s="84"/>
      <c r="Z85" s="131"/>
      <c r="AA85" s="131"/>
      <c r="AB85" s="14"/>
      <c r="AC85" s="14"/>
      <c r="AD85" s="14"/>
      <c r="AF85" s="19">
        <f t="shared" si="149"/>
        <v>0.66532727414177939</v>
      </c>
      <c r="AG85" s="20">
        <f t="shared" si="150"/>
        <v>26557.85</v>
      </c>
      <c r="AH85" s="20">
        <f t="shared" si="135"/>
        <v>30302.3</v>
      </c>
      <c r="AI85" s="20">
        <f t="shared" si="243"/>
        <v>4233.08</v>
      </c>
      <c r="AJ85" s="19">
        <f t="shared" si="136"/>
        <v>5.07</v>
      </c>
      <c r="AK85" s="19">
        <f t="shared" si="152"/>
        <v>2.5704225352112675</v>
      </c>
      <c r="AL85" s="19">
        <f t="shared" si="153"/>
        <v>0.38904109589041097</v>
      </c>
      <c r="AM85" s="19">
        <f t="shared" si="154"/>
        <v>2.0532043530834341</v>
      </c>
      <c r="AN85" s="19">
        <f t="shared" si="155"/>
        <v>0.44135429262394199</v>
      </c>
      <c r="AO85" s="19">
        <f t="shared" si="156"/>
        <v>0.76017483026693111</v>
      </c>
      <c r="AP85" s="19">
        <f t="shared" si="157"/>
        <v>1.3154868593174225</v>
      </c>
      <c r="AQ85" s="19">
        <f t="shared" si="158"/>
        <v>0.22256147914958263</v>
      </c>
      <c r="AR85" s="19">
        <f t="shared" si="159"/>
        <v>0.76017483026693111</v>
      </c>
      <c r="AS85" s="118">
        <f t="shared" si="160"/>
        <v>671.32142401510407</v>
      </c>
      <c r="AT85" s="118">
        <f t="shared" si="161"/>
        <v>2693.3652262675409</v>
      </c>
      <c r="AU85" s="14">
        <f t="shared" si="162"/>
        <v>0.10770138683977575</v>
      </c>
      <c r="AV85" s="14">
        <f t="shared" si="163"/>
        <v>0.47771214093351511</v>
      </c>
      <c r="AX85" s="118">
        <v>240</v>
      </c>
      <c r="AY85" s="118"/>
      <c r="AZ85" s="118">
        <v>7000</v>
      </c>
      <c r="BB85" s="118"/>
      <c r="BC85" s="118">
        <v>170</v>
      </c>
      <c r="BD85" s="118">
        <v>290</v>
      </c>
      <c r="BE85" s="118">
        <v>60</v>
      </c>
      <c r="BF85" s="118">
        <v>100</v>
      </c>
      <c r="BG85" s="118">
        <v>200</v>
      </c>
      <c r="BH85" s="118"/>
      <c r="BI85" s="118"/>
      <c r="BJ85" s="118">
        <v>1100</v>
      </c>
      <c r="BK85" s="118"/>
      <c r="BL85" s="117"/>
      <c r="BM85" s="117"/>
      <c r="BN85" s="117">
        <v>100</v>
      </c>
      <c r="BO85" s="117"/>
      <c r="BP85" s="117"/>
      <c r="BQ85" s="117"/>
      <c r="BR85" s="14"/>
      <c r="BS85" s="14"/>
      <c r="BT85" s="117"/>
      <c r="BU85" s="14"/>
      <c r="BV85" s="14"/>
      <c r="BW85" s="14"/>
      <c r="BX85" s="14"/>
      <c r="BY85" s="14"/>
      <c r="BZ85" s="14"/>
      <c r="CA85" s="14"/>
      <c r="CB85" s="117"/>
      <c r="CC85" s="117"/>
      <c r="CD85" s="118"/>
      <c r="CE85" s="118">
        <v>25</v>
      </c>
      <c r="CG85" s="22">
        <f t="shared" ref="CG85:CG91" si="244">BN85/0.242</f>
        <v>413.22314049586777</v>
      </c>
      <c r="CH85" s="22"/>
      <c r="CI85" s="22"/>
      <c r="CJ85" s="22"/>
      <c r="CK85" s="22"/>
      <c r="CL85" s="22"/>
      <c r="CM85" s="22"/>
      <c r="CN85" s="22"/>
      <c r="CO85" s="22"/>
      <c r="CP85" s="22"/>
      <c r="CQ85" s="22"/>
      <c r="CR85" s="22"/>
      <c r="CS85" s="22"/>
      <c r="CT85" s="22"/>
      <c r="CU85" s="22"/>
      <c r="CV85" s="117">
        <f t="shared" ref="CV85:CV91" si="245">AZ85/BN85</f>
        <v>70</v>
      </c>
      <c r="CW85" s="22"/>
      <c r="CX85" s="20"/>
      <c r="CY85" s="22"/>
      <c r="CZ85" s="22"/>
      <c r="DA85" s="22"/>
      <c r="DB85" s="22"/>
      <c r="DC85" s="22"/>
      <c r="DD85" s="22"/>
      <c r="DE85" s="22"/>
      <c r="DF85" s="22"/>
      <c r="DG85" s="19"/>
      <c r="DH85" s="20">
        <f t="shared" ref="DH85:DH91" si="246">AH85/BN85</f>
        <v>303.02299999999997</v>
      </c>
      <c r="DI85" s="19"/>
      <c r="DJ85" s="22"/>
      <c r="DK85" s="22"/>
      <c r="DL85" s="22"/>
      <c r="DM85" s="22"/>
      <c r="DN85" s="22"/>
      <c r="DO85" s="22"/>
      <c r="DP85" s="20"/>
      <c r="DQ85" s="22"/>
      <c r="DR85" s="22"/>
      <c r="DS85" s="19"/>
      <c r="DT85" s="23"/>
      <c r="DU85" s="22"/>
      <c r="DV85" s="22"/>
      <c r="DW85" s="22"/>
      <c r="DX85" s="22"/>
      <c r="DY85" s="22"/>
      <c r="DZ85" s="19"/>
      <c r="EA85" s="19"/>
      <c r="EB85" s="19"/>
      <c r="EC85" s="19"/>
      <c r="EE85" s="19">
        <f t="shared" si="187"/>
        <v>36.202198196619918</v>
      </c>
      <c r="EF85" s="19">
        <f t="shared" si="188"/>
        <v>4.7322436710246745</v>
      </c>
      <c r="EG85" s="19">
        <f t="shared" si="189"/>
        <v>8.834233670287599</v>
      </c>
      <c r="EH85" s="19">
        <f t="shared" si="190"/>
        <v>13.687293765509313</v>
      </c>
      <c r="EI85" s="19">
        <f t="shared" si="191"/>
        <v>0.27773890620009378</v>
      </c>
      <c r="EJ85" s="19">
        <f t="shared" si="192"/>
        <v>11.67571632602702</v>
      </c>
      <c r="EK85" s="19">
        <f t="shared" si="193"/>
        <v>18.138487027990742</v>
      </c>
      <c r="EL85" s="19">
        <f t="shared" si="194"/>
        <v>1.5168817184774352</v>
      </c>
      <c r="EM85" s="19">
        <f t="shared" si="195"/>
        <v>3.8990269524243937</v>
      </c>
      <c r="EN85" s="19">
        <f t="shared" si="196"/>
        <v>1.0361797654388114</v>
      </c>
      <c r="EO85" s="19">
        <f t="shared" si="197"/>
        <v>100.00000000000001</v>
      </c>
      <c r="EP85" s="19"/>
    </row>
    <row r="86" spans="1:146">
      <c r="A86" s="1" t="s">
        <v>7</v>
      </c>
      <c r="B86" s="1" t="s">
        <v>27</v>
      </c>
      <c r="C86" s="1">
        <v>2</v>
      </c>
      <c r="D86" s="1" t="s">
        <v>17</v>
      </c>
      <c r="E86" s="1" t="s">
        <v>4</v>
      </c>
      <c r="F86" s="2" t="s">
        <v>3</v>
      </c>
      <c r="G86" s="14">
        <v>34.229999999999997</v>
      </c>
      <c r="H86" s="14">
        <v>4.5599999999999996</v>
      </c>
      <c r="I86" s="14">
        <v>8.02</v>
      </c>
      <c r="J86" s="14">
        <v>12.5474</v>
      </c>
      <c r="K86" s="14">
        <v>0.22</v>
      </c>
      <c r="L86" s="14">
        <v>9.92</v>
      </c>
      <c r="M86" s="14">
        <v>16.54</v>
      </c>
      <c r="N86" s="14">
        <v>1.2</v>
      </c>
      <c r="O86" s="14">
        <v>3.39</v>
      </c>
      <c r="P86" s="14">
        <v>0.96</v>
      </c>
      <c r="Q86" s="14"/>
      <c r="R86" s="14">
        <v>4.0199999999999996</v>
      </c>
      <c r="S86" s="15">
        <f t="shared" si="134"/>
        <v>91.587399999999988</v>
      </c>
      <c r="U86" s="86"/>
      <c r="V86" s="86"/>
      <c r="W86" s="84"/>
      <c r="X86" s="84"/>
      <c r="Y86" s="84"/>
      <c r="Z86" s="131"/>
      <c r="AA86" s="131"/>
      <c r="AB86" s="14"/>
      <c r="AC86" s="14"/>
      <c r="AD86" s="14"/>
      <c r="AF86" s="19">
        <f t="shared" si="149"/>
        <v>0.64819674307210151</v>
      </c>
      <c r="AG86" s="20">
        <f t="shared" si="150"/>
        <v>27337.199999999997</v>
      </c>
      <c r="AH86" s="20">
        <f t="shared" si="135"/>
        <v>28143.780000000002</v>
      </c>
      <c r="AI86" s="20">
        <f t="shared" si="243"/>
        <v>4189.4399999999996</v>
      </c>
      <c r="AJ86" s="19">
        <f t="shared" si="136"/>
        <v>4.59</v>
      </c>
      <c r="AK86" s="19">
        <f t="shared" si="152"/>
        <v>2.8250000000000002</v>
      </c>
      <c r="AL86" s="19">
        <f t="shared" si="153"/>
        <v>0.35398230088495575</v>
      </c>
      <c r="AM86" s="19">
        <f t="shared" si="154"/>
        <v>2.0623441396508726</v>
      </c>
      <c r="AN86" s="19">
        <f t="shared" si="155"/>
        <v>0.42269326683291775</v>
      </c>
      <c r="AO86" s="19">
        <f t="shared" si="156"/>
        <v>0.70365552289788713</v>
      </c>
      <c r="AP86" s="19">
        <f t="shared" si="157"/>
        <v>1.4211499341064899</v>
      </c>
      <c r="AQ86" s="19">
        <f t="shared" si="158"/>
        <v>0.22455568448194069</v>
      </c>
      <c r="AR86" s="19">
        <f t="shared" si="159"/>
        <v>0.70365552289788713</v>
      </c>
      <c r="AS86" s="118">
        <f t="shared" si="160"/>
        <v>862.52613674105442</v>
      </c>
      <c r="AT86" s="118">
        <f t="shared" si="161"/>
        <v>2641.4540897540205</v>
      </c>
      <c r="AU86" s="14">
        <f t="shared" si="162"/>
        <v>9.903593339176163E-2</v>
      </c>
      <c r="AV86" s="14">
        <f t="shared" si="163"/>
        <v>0.45751385866543826</v>
      </c>
      <c r="AX86" s="118">
        <v>220</v>
      </c>
      <c r="AY86" s="118">
        <v>7500</v>
      </c>
      <c r="AZ86" s="118">
        <v>2000</v>
      </c>
      <c r="BB86" s="118"/>
      <c r="BC86" s="118">
        <v>260</v>
      </c>
      <c r="BD86" s="118">
        <v>650</v>
      </c>
      <c r="BE86" s="118">
        <v>80</v>
      </c>
      <c r="BF86" s="118">
        <v>200</v>
      </c>
      <c r="BG86" s="118">
        <v>70</v>
      </c>
      <c r="BH86" s="118"/>
      <c r="BI86" s="118"/>
      <c r="BJ86" s="118">
        <v>850</v>
      </c>
      <c r="BK86" s="118"/>
      <c r="BL86" s="117"/>
      <c r="BM86" s="117"/>
      <c r="BN86" s="117">
        <v>50</v>
      </c>
      <c r="BO86" s="117"/>
      <c r="BP86" s="117"/>
      <c r="BQ86" s="117"/>
      <c r="BR86" s="14"/>
      <c r="BS86" s="14"/>
      <c r="BT86" s="117"/>
      <c r="BU86" s="14"/>
      <c r="BV86" s="14"/>
      <c r="BW86" s="14"/>
      <c r="BX86" s="14"/>
      <c r="BY86" s="14"/>
      <c r="BZ86" s="14"/>
      <c r="CA86" s="14"/>
      <c r="CB86" s="117"/>
      <c r="CC86" s="117"/>
      <c r="CD86" s="118"/>
      <c r="CE86" s="118">
        <v>25</v>
      </c>
      <c r="CG86" s="22">
        <f t="shared" si="244"/>
        <v>206.61157024793388</v>
      </c>
      <c r="CH86" s="22"/>
      <c r="CI86" s="22"/>
      <c r="CJ86" s="22"/>
      <c r="CK86" s="22"/>
      <c r="CL86" s="22"/>
      <c r="CM86" s="22"/>
      <c r="CN86" s="22"/>
      <c r="CO86" s="22"/>
      <c r="CP86" s="22"/>
      <c r="CQ86" s="22"/>
      <c r="CR86" s="22"/>
      <c r="CS86" s="22"/>
      <c r="CT86" s="22"/>
      <c r="CU86" s="22"/>
      <c r="CV86" s="117">
        <f t="shared" si="245"/>
        <v>40</v>
      </c>
      <c r="CW86" s="22"/>
      <c r="CX86" s="20"/>
      <c r="CY86" s="22"/>
      <c r="CZ86" s="22"/>
      <c r="DA86" s="22"/>
      <c r="DB86" s="22"/>
      <c r="DC86" s="22"/>
      <c r="DD86" s="22"/>
      <c r="DE86" s="22"/>
      <c r="DF86" s="22"/>
      <c r="DG86" s="19"/>
      <c r="DH86" s="20">
        <f t="shared" si="246"/>
        <v>562.87560000000008</v>
      </c>
      <c r="DI86" s="19"/>
      <c r="DK86" s="22"/>
      <c r="DL86" s="22"/>
      <c r="DM86" s="22"/>
      <c r="DN86" s="22"/>
      <c r="DO86" s="22"/>
      <c r="DP86" s="20"/>
      <c r="DQ86" s="22"/>
      <c r="DR86" s="22"/>
      <c r="DS86" s="19"/>
      <c r="DT86" s="23">
        <f t="shared" ref="DT86:DT120" si="247">1/AY86</f>
        <v>1.3333333333333334E-4</v>
      </c>
      <c r="DU86" s="22"/>
      <c r="DV86" s="22"/>
      <c r="DW86" s="22"/>
      <c r="DX86" s="22"/>
      <c r="DY86" s="22"/>
      <c r="DZ86" s="19">
        <f t="shared" ref="DZ86:DZ91" si="248">EK86*100/AY86</f>
        <v>0.24079003589285572</v>
      </c>
      <c r="EA86" s="19"/>
      <c r="EB86" s="19"/>
      <c r="EC86" s="19"/>
      <c r="EE86" s="19">
        <f t="shared" si="187"/>
        <v>37.374136617045579</v>
      </c>
      <c r="EF86" s="19">
        <f t="shared" si="188"/>
        <v>4.978850802621321</v>
      </c>
      <c r="EG86" s="19">
        <f t="shared" si="189"/>
        <v>8.7566630344348688</v>
      </c>
      <c r="EH86" s="19">
        <f t="shared" si="190"/>
        <v>13.699919421230433</v>
      </c>
      <c r="EI86" s="19">
        <f t="shared" si="191"/>
        <v>0.24020771416155501</v>
      </c>
      <c r="EJ86" s="19">
        <f t="shared" si="192"/>
        <v>10.831184202193754</v>
      </c>
      <c r="EK86" s="19">
        <f t="shared" si="193"/>
        <v>18.059252691964179</v>
      </c>
      <c r="EL86" s="19">
        <f t="shared" si="194"/>
        <v>1.3102238954266636</v>
      </c>
      <c r="EM86" s="19">
        <f t="shared" si="195"/>
        <v>3.7013825045803248</v>
      </c>
      <c r="EN86" s="19">
        <f t="shared" si="196"/>
        <v>1.048179116341331</v>
      </c>
      <c r="EO86" s="19">
        <f t="shared" si="197"/>
        <v>100</v>
      </c>
      <c r="EP86" s="19"/>
    </row>
    <row r="87" spans="1:146">
      <c r="A87" s="1" t="s">
        <v>7</v>
      </c>
      <c r="B87" s="1" t="s">
        <v>15</v>
      </c>
      <c r="C87" s="1">
        <v>2</v>
      </c>
      <c r="D87" s="1" t="s">
        <v>17</v>
      </c>
      <c r="E87" s="1" t="s">
        <v>4</v>
      </c>
      <c r="F87" s="2" t="s">
        <v>3</v>
      </c>
      <c r="G87" s="14">
        <v>33.22</v>
      </c>
      <c r="H87" s="14">
        <v>6.08</v>
      </c>
      <c r="I87" s="14">
        <v>9.7100000000000009</v>
      </c>
      <c r="J87" s="14">
        <v>12.562999999999999</v>
      </c>
      <c r="K87" s="14">
        <v>0.52</v>
      </c>
      <c r="L87" s="14">
        <v>12.12</v>
      </c>
      <c r="M87" s="14">
        <v>15.64</v>
      </c>
      <c r="N87" s="14">
        <v>1.51</v>
      </c>
      <c r="O87" s="14">
        <v>3.54</v>
      </c>
      <c r="P87" s="14">
        <v>1.1200000000000001</v>
      </c>
      <c r="Q87" s="14"/>
      <c r="R87" s="14">
        <v>0.42</v>
      </c>
      <c r="S87" s="15">
        <f t="shared" si="134"/>
        <v>96.02300000000001</v>
      </c>
      <c r="U87" s="86"/>
      <c r="V87" s="86"/>
      <c r="W87" s="84"/>
      <c r="X87" s="84"/>
      <c r="Y87" s="84"/>
      <c r="Z87" s="131"/>
      <c r="AA87" s="131"/>
      <c r="AB87" s="14"/>
      <c r="AC87" s="14"/>
      <c r="AD87" s="14"/>
      <c r="AF87" s="19">
        <f t="shared" si="149"/>
        <v>0.69214865298316308</v>
      </c>
      <c r="AG87" s="20">
        <f t="shared" si="150"/>
        <v>36449.599999999999</v>
      </c>
      <c r="AH87" s="20">
        <f t="shared" si="135"/>
        <v>29389.08</v>
      </c>
      <c r="AI87" s="20">
        <f t="shared" si="243"/>
        <v>4887.68</v>
      </c>
      <c r="AJ87" s="19">
        <f t="shared" si="136"/>
        <v>5.05</v>
      </c>
      <c r="AK87" s="19">
        <f t="shared" si="152"/>
        <v>2.3443708609271523</v>
      </c>
      <c r="AL87" s="19">
        <f t="shared" si="153"/>
        <v>0.42655367231638419</v>
      </c>
      <c r="AM87" s="19">
        <f t="shared" si="154"/>
        <v>1.6107106076210091</v>
      </c>
      <c r="AN87" s="19">
        <f t="shared" si="155"/>
        <v>0.36457260556127702</v>
      </c>
      <c r="AO87" s="19">
        <f t="shared" si="156"/>
        <v>0.65042620867333389</v>
      </c>
      <c r="AP87" s="19">
        <f t="shared" si="157"/>
        <v>1.5374534215644344</v>
      </c>
      <c r="AQ87" s="19">
        <f t="shared" si="158"/>
        <v>0.27941651626283548</v>
      </c>
      <c r="AR87" s="19">
        <f t="shared" si="159"/>
        <v>0.65042620867333389</v>
      </c>
      <c r="AS87" s="118">
        <f t="shared" si="160"/>
        <v>561.73730913830377</v>
      </c>
      <c r="AT87" s="118">
        <f t="shared" si="161"/>
        <v>2567.384383534923</v>
      </c>
      <c r="AU87" s="14">
        <f t="shared" si="162"/>
        <v>0.10656231186032511</v>
      </c>
      <c r="AV87" s="14">
        <f t="shared" si="163"/>
        <v>0.39460533824870275</v>
      </c>
      <c r="AX87" s="118">
        <v>150</v>
      </c>
      <c r="AY87" s="118">
        <v>4000</v>
      </c>
      <c r="AZ87" s="118">
        <v>1800</v>
      </c>
      <c r="BB87" s="118"/>
      <c r="BC87" s="118">
        <v>350</v>
      </c>
      <c r="BD87" s="118">
        <v>500</v>
      </c>
      <c r="BE87" s="118">
        <v>80</v>
      </c>
      <c r="BF87" s="118">
        <v>160</v>
      </c>
      <c r="BG87" s="118">
        <v>60</v>
      </c>
      <c r="BH87" s="118"/>
      <c r="BI87" s="118"/>
      <c r="BJ87" s="118">
        <v>1200</v>
      </c>
      <c r="BK87" s="118"/>
      <c r="BL87" s="117"/>
      <c r="BM87" s="117"/>
      <c r="BN87" s="117">
        <v>30</v>
      </c>
      <c r="BO87" s="117"/>
      <c r="BP87" s="117"/>
      <c r="BQ87" s="117"/>
      <c r="BR87" s="14"/>
      <c r="BS87" s="14"/>
      <c r="BT87" s="117"/>
      <c r="BU87" s="14"/>
      <c r="BV87" s="14"/>
      <c r="BW87" s="14"/>
      <c r="BX87" s="14"/>
      <c r="BY87" s="14"/>
      <c r="BZ87" s="14"/>
      <c r="CA87" s="14"/>
      <c r="CB87" s="117"/>
      <c r="CC87" s="117"/>
      <c r="CD87" s="118"/>
      <c r="CE87" s="118">
        <v>30</v>
      </c>
      <c r="CG87" s="22">
        <f t="shared" si="244"/>
        <v>123.96694214876034</v>
      </c>
      <c r="CH87" s="22"/>
      <c r="CI87" s="22"/>
      <c r="CJ87" s="22"/>
      <c r="CK87" s="22"/>
      <c r="CL87" s="22"/>
      <c r="CM87" s="22"/>
      <c r="CN87" s="22"/>
      <c r="CO87" s="22"/>
      <c r="CP87" s="22"/>
      <c r="CQ87" s="22"/>
      <c r="CR87" s="22"/>
      <c r="CS87" s="22"/>
      <c r="CT87" s="22"/>
      <c r="CU87" s="22"/>
      <c r="CV87" s="117">
        <f t="shared" si="245"/>
        <v>60</v>
      </c>
      <c r="CW87" s="22"/>
      <c r="CX87" s="20"/>
      <c r="CY87" s="22"/>
      <c r="CZ87" s="22"/>
      <c r="DA87" s="22"/>
      <c r="DB87" s="22"/>
      <c r="DC87" s="22"/>
      <c r="DD87" s="22"/>
      <c r="DE87" s="22"/>
      <c r="DF87" s="22"/>
      <c r="DG87" s="19"/>
      <c r="DH87" s="20">
        <f t="shared" si="246"/>
        <v>979.63600000000008</v>
      </c>
      <c r="DI87" s="19"/>
      <c r="DJ87" s="22"/>
      <c r="DK87" s="22"/>
      <c r="DL87" s="22"/>
      <c r="DM87" s="22"/>
      <c r="DN87" s="22"/>
      <c r="DO87" s="22"/>
      <c r="DP87" s="20"/>
      <c r="DQ87" s="22"/>
      <c r="DR87" s="22"/>
      <c r="DS87" s="19"/>
      <c r="DT87" s="23">
        <f t="shared" si="247"/>
        <v>2.5000000000000001E-4</v>
      </c>
      <c r="DU87" s="22"/>
      <c r="DV87" s="22"/>
      <c r="DW87" s="22"/>
      <c r="DX87" s="22"/>
      <c r="DY87" s="22"/>
      <c r="DZ87" s="19">
        <f t="shared" si="248"/>
        <v>0.40719410974454034</v>
      </c>
      <c r="EA87" s="19"/>
      <c r="EB87" s="19"/>
      <c r="EC87" s="19"/>
      <c r="EE87" s="19">
        <f t="shared" si="187"/>
        <v>34.595878070878847</v>
      </c>
      <c r="EF87" s="19">
        <f t="shared" si="188"/>
        <v>6.3318163356695782</v>
      </c>
      <c r="EG87" s="19">
        <f t="shared" si="189"/>
        <v>10.112160628182831</v>
      </c>
      <c r="EH87" s="19">
        <f t="shared" si="190"/>
        <v>13.083323787009361</v>
      </c>
      <c r="EI87" s="19">
        <f t="shared" si="191"/>
        <v>0.54153692344542448</v>
      </c>
      <c r="EJ87" s="19">
        <f t="shared" si="192"/>
        <v>12.621975984920278</v>
      </c>
      <c r="EK87" s="19">
        <f t="shared" si="193"/>
        <v>16.287764389781614</v>
      </c>
      <c r="EL87" s="19">
        <f t="shared" si="194"/>
        <v>1.5725399123126749</v>
      </c>
      <c r="EM87" s="19">
        <f t="shared" si="195"/>
        <v>3.6866167480707741</v>
      </c>
      <c r="EN87" s="19">
        <f t="shared" si="196"/>
        <v>1.1663872197286067</v>
      </c>
      <c r="EO87" s="19">
        <f t="shared" si="197"/>
        <v>100</v>
      </c>
      <c r="EP87" s="19"/>
    </row>
    <row r="88" spans="1:146">
      <c r="A88" s="1" t="s">
        <v>7</v>
      </c>
      <c r="B88" s="1" t="s">
        <v>27</v>
      </c>
      <c r="C88" s="1">
        <v>2</v>
      </c>
      <c r="D88" s="1" t="s">
        <v>17</v>
      </c>
      <c r="E88" s="1" t="s">
        <v>4</v>
      </c>
      <c r="F88" s="2" t="s">
        <v>3</v>
      </c>
      <c r="G88" s="14">
        <v>33.520000000000003</v>
      </c>
      <c r="H88" s="14">
        <v>6.04</v>
      </c>
      <c r="I88" s="14">
        <v>8.0399999999999991</v>
      </c>
      <c r="J88" s="14">
        <v>11.984999999999999</v>
      </c>
      <c r="K88" s="14">
        <v>0.15</v>
      </c>
      <c r="L88" s="14">
        <v>13.54</v>
      </c>
      <c r="M88" s="14">
        <v>15.22</v>
      </c>
      <c r="N88" s="14">
        <v>1.42</v>
      </c>
      <c r="O88" s="14">
        <v>4.26</v>
      </c>
      <c r="P88" s="14">
        <v>0.82</v>
      </c>
      <c r="Q88" s="14"/>
      <c r="R88" s="14">
        <v>0.96</v>
      </c>
      <c r="S88" s="15">
        <f t="shared" si="134"/>
        <v>94.995000000000005</v>
      </c>
      <c r="U88" s="86"/>
      <c r="V88" s="86"/>
      <c r="W88" s="84"/>
      <c r="X88" s="84"/>
      <c r="Y88" s="84"/>
      <c r="Z88" s="131"/>
      <c r="AA88" s="131"/>
      <c r="AB88" s="14"/>
      <c r="AC88" s="14"/>
      <c r="AD88" s="14"/>
      <c r="AF88" s="19">
        <f t="shared" si="149"/>
        <v>0.72473566357734176</v>
      </c>
      <c r="AG88" s="20">
        <f t="shared" si="150"/>
        <v>36209.800000000003</v>
      </c>
      <c r="AH88" s="20">
        <f t="shared" si="135"/>
        <v>35366.519999999997</v>
      </c>
      <c r="AI88" s="20">
        <f t="shared" si="243"/>
        <v>3578.4799999999996</v>
      </c>
      <c r="AJ88" s="19">
        <f t="shared" si="136"/>
        <v>5.68</v>
      </c>
      <c r="AK88" s="19">
        <f t="shared" si="152"/>
        <v>3</v>
      </c>
      <c r="AL88" s="19">
        <f t="shared" si="153"/>
        <v>0.33333333333333331</v>
      </c>
      <c r="AM88" s="19">
        <f t="shared" si="154"/>
        <v>1.8930348258706473</v>
      </c>
      <c r="AN88" s="19">
        <f t="shared" si="155"/>
        <v>0.52985074626865669</v>
      </c>
      <c r="AO88" s="19">
        <f t="shared" si="156"/>
        <v>0.86404183794690104</v>
      </c>
      <c r="AP88" s="19">
        <f t="shared" si="157"/>
        <v>1.1573513643461488</v>
      </c>
      <c r="AQ88" s="19">
        <f t="shared" si="158"/>
        <v>0.23224484714772578</v>
      </c>
      <c r="AR88" s="19">
        <f t="shared" si="159"/>
        <v>0.86404183794690104</v>
      </c>
      <c r="AS88" s="118">
        <f t="shared" si="160"/>
        <v>454.13333456982861</v>
      </c>
      <c r="AT88" s="118">
        <f t="shared" si="161"/>
        <v>2587.564840610843</v>
      </c>
      <c r="AU88" s="14">
        <f t="shared" si="162"/>
        <v>0.12708830548926012</v>
      </c>
      <c r="AV88" s="14">
        <f t="shared" si="163"/>
        <v>0.57349874829673286</v>
      </c>
      <c r="AX88" s="118">
        <v>380</v>
      </c>
      <c r="AY88" s="118">
        <v>9500</v>
      </c>
      <c r="AZ88" s="118">
        <v>4500</v>
      </c>
      <c r="BB88" s="118"/>
      <c r="BC88" s="118">
        <v>210</v>
      </c>
      <c r="BD88" s="118">
        <v>1200</v>
      </c>
      <c r="BE88" s="118">
        <v>70</v>
      </c>
      <c r="BF88" s="118">
        <v>180</v>
      </c>
      <c r="BG88" s="118">
        <v>50</v>
      </c>
      <c r="BH88" s="118"/>
      <c r="BI88" s="118"/>
      <c r="BJ88" s="118">
        <v>800</v>
      </c>
      <c r="BK88" s="118"/>
      <c r="BL88" s="117"/>
      <c r="BM88" s="117"/>
      <c r="BN88" s="117">
        <v>70</v>
      </c>
      <c r="BO88" s="117"/>
      <c r="BP88" s="117"/>
      <c r="BQ88" s="117"/>
      <c r="BR88" s="14"/>
      <c r="BS88" s="14"/>
      <c r="BT88" s="117"/>
      <c r="BU88" s="14"/>
      <c r="BV88" s="14"/>
      <c r="BW88" s="14"/>
      <c r="BX88" s="14"/>
      <c r="BY88" s="14"/>
      <c r="BZ88" s="14"/>
      <c r="CA88" s="14"/>
      <c r="CB88" s="117"/>
      <c r="CC88" s="117"/>
      <c r="CD88" s="118"/>
      <c r="CE88" s="118">
        <v>20</v>
      </c>
      <c r="CG88" s="22">
        <f t="shared" si="244"/>
        <v>289.25619834710744</v>
      </c>
      <c r="CH88" s="22"/>
      <c r="CI88" s="22"/>
      <c r="CJ88" s="22"/>
      <c r="CK88" s="22"/>
      <c r="CL88" s="22"/>
      <c r="CM88" s="22"/>
      <c r="CN88" s="22"/>
      <c r="CO88" s="22"/>
      <c r="CP88" s="22"/>
      <c r="CQ88" s="22"/>
      <c r="CR88" s="22"/>
      <c r="CS88" s="22"/>
      <c r="CT88" s="22"/>
      <c r="CU88" s="22"/>
      <c r="CV88" s="117">
        <f t="shared" si="245"/>
        <v>64.285714285714292</v>
      </c>
      <c r="CW88" s="22"/>
      <c r="CX88" s="20"/>
      <c r="CY88" s="22"/>
      <c r="CZ88" s="22"/>
      <c r="DA88" s="22"/>
      <c r="DB88" s="22"/>
      <c r="DC88" s="22"/>
      <c r="DD88" s="22"/>
      <c r="DE88" s="22"/>
      <c r="DF88" s="22"/>
      <c r="DG88" s="19"/>
      <c r="DH88" s="20">
        <f t="shared" si="246"/>
        <v>505.23599999999993</v>
      </c>
      <c r="DI88" s="19"/>
      <c r="DJ88" s="22"/>
      <c r="DK88" s="22"/>
      <c r="DL88" s="22"/>
      <c r="DM88" s="22"/>
      <c r="DN88" s="22"/>
      <c r="DO88" s="22"/>
      <c r="DP88" s="20"/>
      <c r="DQ88" s="22"/>
      <c r="DR88" s="22"/>
      <c r="DS88" s="19"/>
      <c r="DT88" s="23">
        <f t="shared" si="247"/>
        <v>1.0526315789473685E-4</v>
      </c>
      <c r="DU88" s="22"/>
      <c r="DV88" s="22"/>
      <c r="DW88" s="22"/>
      <c r="DX88" s="22"/>
      <c r="DY88" s="22"/>
      <c r="DZ88" s="19">
        <f t="shared" si="248"/>
        <v>0.16865153567639296</v>
      </c>
      <c r="EA88" s="19"/>
      <c r="EB88" s="19"/>
      <c r="EC88" s="19"/>
      <c r="EE88" s="19">
        <f t="shared" si="187"/>
        <v>35.286067687773041</v>
      </c>
      <c r="EF88" s="19">
        <f t="shared" si="188"/>
        <v>6.35822938049371</v>
      </c>
      <c r="EG88" s="19">
        <f t="shared" si="189"/>
        <v>8.4636033475446055</v>
      </c>
      <c r="EH88" s="19">
        <f t="shared" si="190"/>
        <v>12.616453497552502</v>
      </c>
      <c r="EI88" s="19">
        <f t="shared" si="191"/>
        <v>0.15790304752881729</v>
      </c>
      <c r="EJ88" s="19">
        <f t="shared" si="192"/>
        <v>14.253381756934575</v>
      </c>
      <c r="EK88" s="19">
        <f t="shared" si="193"/>
        <v>16.02189588925733</v>
      </c>
      <c r="EL88" s="19">
        <f t="shared" si="194"/>
        <v>1.494815516606137</v>
      </c>
      <c r="EM88" s="19">
        <f t="shared" si="195"/>
        <v>4.4844465498184114</v>
      </c>
      <c r="EN88" s="19">
        <f t="shared" si="196"/>
        <v>0.86320332649086795</v>
      </c>
      <c r="EO88" s="19">
        <f t="shared" si="197"/>
        <v>100</v>
      </c>
      <c r="EP88" s="19"/>
    </row>
    <row r="89" spans="1:146">
      <c r="A89" s="1" t="s">
        <v>7</v>
      </c>
      <c r="B89" s="1" t="s">
        <v>15</v>
      </c>
      <c r="C89" s="1">
        <v>2</v>
      </c>
      <c r="D89" s="1" t="s">
        <v>17</v>
      </c>
      <c r="E89" s="1" t="s">
        <v>26</v>
      </c>
      <c r="F89" s="2" t="s">
        <v>3</v>
      </c>
      <c r="G89" s="14">
        <v>39.06</v>
      </c>
      <c r="H89" s="14">
        <v>4.3600000000000003</v>
      </c>
      <c r="I89" s="14">
        <v>8.18</v>
      </c>
      <c r="J89" s="14">
        <v>10.137800000000002</v>
      </c>
      <c r="K89" s="14">
        <v>0.26</v>
      </c>
      <c r="L89" s="14">
        <v>17.66</v>
      </c>
      <c r="M89" s="14">
        <v>10.4</v>
      </c>
      <c r="N89" s="14">
        <v>0.18</v>
      </c>
      <c r="O89" s="14">
        <v>6.98</v>
      </c>
      <c r="P89" s="14">
        <v>0.61</v>
      </c>
      <c r="Q89" s="14"/>
      <c r="R89" s="14"/>
      <c r="S89" s="15">
        <f t="shared" si="134"/>
        <v>97.827800000000025</v>
      </c>
      <c r="U89" s="86"/>
      <c r="V89" s="86"/>
      <c r="W89" s="84"/>
      <c r="X89" s="84"/>
      <c r="Y89" s="84"/>
      <c r="Z89" s="131"/>
      <c r="AA89" s="131"/>
      <c r="AB89" s="14"/>
      <c r="AC89" s="14"/>
      <c r="AD89" s="14"/>
      <c r="AF89" s="19">
        <f t="shared" si="149"/>
        <v>0.8023605898424423</v>
      </c>
      <c r="AG89" s="20">
        <f t="shared" si="150"/>
        <v>26138.2</v>
      </c>
      <c r="AH89" s="20">
        <f t="shared" si="135"/>
        <v>57947.960000000006</v>
      </c>
      <c r="AI89" s="20">
        <f t="shared" si="243"/>
        <v>2662.04</v>
      </c>
      <c r="AJ89" s="19">
        <f t="shared" si="136"/>
        <v>7.16</v>
      </c>
      <c r="AK89" s="19">
        <f t="shared" si="152"/>
        <v>38.777777777777779</v>
      </c>
      <c r="AL89" s="19">
        <f t="shared" si="153"/>
        <v>2.5787965616045842E-2</v>
      </c>
      <c r="AM89" s="19">
        <f t="shared" si="154"/>
        <v>1.2713936430317847</v>
      </c>
      <c r="AN89" s="19">
        <f t="shared" si="155"/>
        <v>0.85330073349633262</v>
      </c>
      <c r="AO89" s="19">
        <f t="shared" si="156"/>
        <v>0.95979294607938681</v>
      </c>
      <c r="AP89" s="19">
        <f t="shared" si="157"/>
        <v>1.041891383016361</v>
      </c>
      <c r="AQ89" s="19">
        <f t="shared" si="158"/>
        <v>0.30568557021199577</v>
      </c>
      <c r="AR89" s="19">
        <f t="shared" si="159"/>
        <v>0.95979294607938681</v>
      </c>
      <c r="AS89" s="118">
        <f t="shared" si="160"/>
        <v>685.23110047961723</v>
      </c>
      <c r="AT89" s="118">
        <f t="shared" si="161"/>
        <v>2197.307951104518</v>
      </c>
      <c r="AU89" s="14">
        <f t="shared" si="162"/>
        <v>0.17869943676395289</v>
      </c>
      <c r="AV89" s="14">
        <f t="shared" si="163"/>
        <v>0.92359387247649738</v>
      </c>
      <c r="AX89" s="118">
        <v>450</v>
      </c>
      <c r="AY89" s="118">
        <v>7000</v>
      </c>
      <c r="AZ89" s="118">
        <v>7500</v>
      </c>
      <c r="BB89" s="118"/>
      <c r="BC89" s="118">
        <v>220</v>
      </c>
      <c r="BD89" s="118">
        <v>1300</v>
      </c>
      <c r="BE89" s="118">
        <v>70</v>
      </c>
      <c r="BF89" s="118">
        <v>300</v>
      </c>
      <c r="BG89" s="118">
        <v>25</v>
      </c>
      <c r="BH89" s="118"/>
      <c r="BI89" s="118"/>
      <c r="BJ89" s="118">
        <v>900</v>
      </c>
      <c r="BK89" s="118"/>
      <c r="BL89" s="117"/>
      <c r="BM89" s="117"/>
      <c r="BN89" s="117">
        <v>80</v>
      </c>
      <c r="BO89" s="117"/>
      <c r="BP89" s="117"/>
      <c r="BQ89" s="117"/>
      <c r="BR89" s="14"/>
      <c r="BS89" s="14"/>
      <c r="BT89" s="117"/>
      <c r="BU89" s="14"/>
      <c r="BV89" s="14"/>
      <c r="BW89" s="14"/>
      <c r="BX89" s="14"/>
      <c r="BY89" s="14"/>
      <c r="BZ89" s="14"/>
      <c r="CA89" s="14"/>
      <c r="CB89" s="117"/>
      <c r="CC89" s="117"/>
      <c r="CD89" s="118"/>
      <c r="CE89" s="118">
        <v>15</v>
      </c>
      <c r="CG89" s="22">
        <f t="shared" si="244"/>
        <v>330.57851239669424</v>
      </c>
      <c r="CH89" s="22"/>
      <c r="CI89" s="22"/>
      <c r="CJ89" s="22"/>
      <c r="CK89" s="22"/>
      <c r="CL89" s="22"/>
      <c r="CM89" s="22"/>
      <c r="CN89" s="22"/>
      <c r="CO89" s="22"/>
      <c r="CP89" s="22"/>
      <c r="CQ89" s="22"/>
      <c r="CR89" s="22"/>
      <c r="CS89" s="22"/>
      <c r="CT89" s="22"/>
      <c r="CU89" s="22"/>
      <c r="CV89" s="117">
        <f t="shared" si="245"/>
        <v>93.75</v>
      </c>
      <c r="CW89" s="22"/>
      <c r="CX89" s="20"/>
      <c r="CY89" s="22"/>
      <c r="CZ89" s="22"/>
      <c r="DA89" s="22"/>
      <c r="DB89" s="22"/>
      <c r="DC89" s="22"/>
      <c r="DD89" s="22"/>
      <c r="DE89" s="22"/>
      <c r="DF89" s="22"/>
      <c r="DG89" s="19"/>
      <c r="DH89" s="20">
        <f t="shared" si="246"/>
        <v>724.34950000000003</v>
      </c>
      <c r="DI89" s="19"/>
      <c r="DJ89" s="22"/>
      <c r="DK89" s="22"/>
      <c r="DL89" s="22"/>
      <c r="DM89" s="22"/>
      <c r="DN89" s="22"/>
      <c r="DO89" s="22"/>
      <c r="DP89" s="20"/>
      <c r="DQ89" s="22"/>
      <c r="DR89" s="22"/>
      <c r="DS89" s="19"/>
      <c r="DT89" s="23">
        <f t="shared" si="247"/>
        <v>1.4285714285714287E-4</v>
      </c>
      <c r="DU89" s="22"/>
      <c r="DV89" s="22"/>
      <c r="DW89" s="22"/>
      <c r="DX89" s="22"/>
      <c r="DY89" s="22"/>
      <c r="DZ89" s="19">
        <f t="shared" si="248"/>
        <v>0.15187035645432947</v>
      </c>
      <c r="EA89" s="19"/>
      <c r="EB89" s="19"/>
      <c r="EC89" s="19"/>
      <c r="EE89" s="19">
        <f t="shared" si="187"/>
        <v>39.927300828598817</v>
      </c>
      <c r="EF89" s="19">
        <f t="shared" si="188"/>
        <v>4.4568108451789774</v>
      </c>
      <c r="EG89" s="19">
        <f t="shared" si="189"/>
        <v>8.3616313563220253</v>
      </c>
      <c r="EH89" s="19">
        <f t="shared" si="190"/>
        <v>10.362902978498953</v>
      </c>
      <c r="EI89" s="19">
        <f t="shared" si="191"/>
        <v>0.26577312379507656</v>
      </c>
      <c r="EJ89" s="19">
        <f t="shared" si="192"/>
        <v>18.052128331619432</v>
      </c>
      <c r="EK89" s="19">
        <f t="shared" si="193"/>
        <v>10.630924951803063</v>
      </c>
      <c r="EL89" s="19">
        <f t="shared" si="194"/>
        <v>0.18399677801197609</v>
      </c>
      <c r="EM89" s="19">
        <f t="shared" si="195"/>
        <v>7.1349861695755177</v>
      </c>
      <c r="EN89" s="19">
        <f t="shared" si="196"/>
        <v>0.62354463659614123</v>
      </c>
      <c r="EO89" s="19">
        <f t="shared" si="197"/>
        <v>99.999999999999972</v>
      </c>
      <c r="EP89" s="19"/>
    </row>
    <row r="90" spans="1:146">
      <c r="A90" s="1" t="s">
        <v>7</v>
      </c>
      <c r="B90" s="1" t="s">
        <v>25</v>
      </c>
      <c r="C90" s="1">
        <v>2</v>
      </c>
      <c r="D90" s="1" t="s">
        <v>17</v>
      </c>
      <c r="E90" s="1" t="s">
        <v>12</v>
      </c>
      <c r="F90" s="2" t="s">
        <v>3</v>
      </c>
      <c r="G90" s="14">
        <v>36.22</v>
      </c>
      <c r="H90" s="14">
        <v>4.76</v>
      </c>
      <c r="I90" s="14">
        <v>8.2100000000000009</v>
      </c>
      <c r="J90" s="14">
        <v>12.630500000000001</v>
      </c>
      <c r="K90" s="14">
        <v>0.18</v>
      </c>
      <c r="L90" s="14">
        <v>9.76</v>
      </c>
      <c r="M90" s="14">
        <v>13.98</v>
      </c>
      <c r="N90" s="14">
        <v>1.28</v>
      </c>
      <c r="O90" s="14">
        <v>7.29</v>
      </c>
      <c r="P90" s="14">
        <v>1.0900000000000001</v>
      </c>
      <c r="Q90" s="14">
        <v>1.55</v>
      </c>
      <c r="R90" s="14">
        <v>1.52</v>
      </c>
      <c r="S90" s="15">
        <f t="shared" si="134"/>
        <v>96.950500000000005</v>
      </c>
      <c r="U90" s="86">
        <v>0.70489999999999997</v>
      </c>
      <c r="V90" s="86"/>
      <c r="W90" s="84"/>
      <c r="X90" s="84"/>
      <c r="Y90" s="84"/>
      <c r="Z90" s="131"/>
      <c r="AA90" s="131"/>
      <c r="AB90" s="14"/>
      <c r="AC90" s="14"/>
      <c r="AD90" s="14"/>
      <c r="AF90" s="19">
        <f t="shared" si="149"/>
        <v>0.64296594804397544</v>
      </c>
      <c r="AG90" s="20">
        <f t="shared" si="150"/>
        <v>28536.199999999997</v>
      </c>
      <c r="AH90" s="20">
        <f t="shared" si="135"/>
        <v>60521.58</v>
      </c>
      <c r="AI90" s="20">
        <f t="shared" si="243"/>
        <v>4756.76</v>
      </c>
      <c r="AJ90" s="19">
        <f t="shared" si="136"/>
        <v>8.57</v>
      </c>
      <c r="AK90" s="19">
        <f t="shared" si="152"/>
        <v>5.6953125</v>
      </c>
      <c r="AL90" s="19">
        <f t="shared" si="153"/>
        <v>0.17558299039780523</v>
      </c>
      <c r="AM90" s="19">
        <f t="shared" si="154"/>
        <v>1.7028014616321556</v>
      </c>
      <c r="AN90" s="19">
        <f t="shared" si="155"/>
        <v>0.88794153471376358</v>
      </c>
      <c r="AO90" s="19">
        <f t="shared" si="156"/>
        <v>1.2175633279091742</v>
      </c>
      <c r="AP90" s="19">
        <f t="shared" si="157"/>
        <v>0.82131251580747044</v>
      </c>
      <c r="AQ90" s="19">
        <f t="shared" si="158"/>
        <v>0.23183268806023422</v>
      </c>
      <c r="AR90" s="19">
        <f t="shared" si="159"/>
        <v>1.2175633279091742</v>
      </c>
      <c r="AS90" s="118">
        <f t="shared" si="160"/>
        <v>-23.918020101867331</v>
      </c>
      <c r="AT90" s="118">
        <f t="shared" si="161"/>
        <v>2244.3605553176076</v>
      </c>
      <c r="AU90" s="14">
        <f t="shared" si="162"/>
        <v>0.20127001656543347</v>
      </c>
      <c r="AV90" s="14">
        <f t="shared" si="163"/>
        <v>0.96108831082181878</v>
      </c>
      <c r="AX90" s="118">
        <v>156</v>
      </c>
      <c r="AY90" s="118">
        <v>2531</v>
      </c>
      <c r="AZ90" s="118">
        <v>2506</v>
      </c>
      <c r="BB90" s="118">
        <v>25</v>
      </c>
      <c r="BC90" s="118"/>
      <c r="BE90" s="118">
        <v>46</v>
      </c>
      <c r="BF90" s="118"/>
      <c r="BG90" s="118"/>
      <c r="BH90" s="118"/>
      <c r="BI90" s="118"/>
      <c r="BJ90" s="118">
        <v>605</v>
      </c>
      <c r="BK90" s="118">
        <v>205</v>
      </c>
      <c r="BL90" s="117">
        <v>10.3</v>
      </c>
      <c r="BM90" s="117">
        <v>18.7</v>
      </c>
      <c r="BN90" s="117">
        <v>197</v>
      </c>
      <c r="BO90" s="117">
        <v>404</v>
      </c>
      <c r="BP90" s="117"/>
      <c r="BQ90" s="117"/>
      <c r="BR90" s="14">
        <v>20.399999999999999</v>
      </c>
      <c r="BS90" s="14">
        <v>4.9800000000000004</v>
      </c>
      <c r="BT90" s="117"/>
      <c r="BU90" s="14">
        <v>1.79</v>
      </c>
      <c r="BV90" s="14"/>
      <c r="BW90" s="14"/>
      <c r="BX90" s="14"/>
      <c r="BY90" s="14"/>
      <c r="BZ90" s="14">
        <v>1.1100000000000001</v>
      </c>
      <c r="CA90" s="14">
        <v>0.13</v>
      </c>
      <c r="CB90" s="117"/>
      <c r="CC90" s="117">
        <v>29</v>
      </c>
      <c r="CD90" s="118"/>
      <c r="CE90" s="118"/>
      <c r="CG90" s="22">
        <f t="shared" si="244"/>
        <v>814.04958677685954</v>
      </c>
      <c r="CH90" s="22">
        <f>BO90/0.635</f>
        <v>636.22047244094483</v>
      </c>
      <c r="CI90" s="22"/>
      <c r="CJ90" s="22"/>
      <c r="CK90" s="22">
        <f>BR90/0.156</f>
        <v>130.76923076923077</v>
      </c>
      <c r="CL90" s="22">
        <f>BS90/0.0591</f>
        <v>84.263959390862951</v>
      </c>
      <c r="CM90" s="22"/>
      <c r="CN90" s="22">
        <f>BU90/0.0376</f>
        <v>47.606382978723403</v>
      </c>
      <c r="CO90" s="22"/>
      <c r="CP90" s="22"/>
      <c r="CQ90" s="22"/>
      <c r="CR90" s="22"/>
      <c r="CS90" s="22">
        <f>BZ90/0.166</f>
        <v>6.6867469879518078</v>
      </c>
      <c r="CT90" s="22">
        <f>CA90/0.025</f>
        <v>5.2</v>
      </c>
      <c r="CU90" s="22">
        <f>AZ90/BK90</f>
        <v>12.224390243902439</v>
      </c>
      <c r="CV90" s="117">
        <f t="shared" si="245"/>
        <v>12.720812182741117</v>
      </c>
      <c r="CW90" s="22">
        <f>BN90/BK90</f>
        <v>0.96097560975609753</v>
      </c>
      <c r="CX90" s="20">
        <f>AG90/BK90</f>
        <v>139.20097560975609</v>
      </c>
      <c r="CY90" s="22"/>
      <c r="CZ90" s="22"/>
      <c r="DA90" s="22">
        <f>AX90/BR90</f>
        <v>7.6470588235294121</v>
      </c>
      <c r="DB90" s="22">
        <f t="shared" ref="DB90:DB98" si="249">BJ90/BK90</f>
        <v>2.9512195121951219</v>
      </c>
      <c r="DC90" s="22">
        <f>AZ90/CC90</f>
        <v>86.41379310344827</v>
      </c>
      <c r="DD90" s="22">
        <f>CC90/BM90</f>
        <v>1.5508021390374331</v>
      </c>
      <c r="DE90" s="22">
        <f>BM90/BZ90</f>
        <v>16.846846846846844</v>
      </c>
      <c r="DF90" s="22">
        <f>CC90/BZ90</f>
        <v>26.126126126126124</v>
      </c>
      <c r="DG90" s="19"/>
      <c r="DH90" s="20">
        <f t="shared" si="246"/>
        <v>307.21614213197972</v>
      </c>
      <c r="DI90" s="19"/>
      <c r="DJ90" s="22">
        <f>BN90/CA90</f>
        <v>1515.3846153846152</v>
      </c>
      <c r="DK90" s="22">
        <f>CG90/CT90</f>
        <v>156.54799745708837</v>
      </c>
      <c r="DL90" s="22">
        <f>CG90/CK90</f>
        <v>6.2250850753524549</v>
      </c>
      <c r="DM90" s="22">
        <f>BN90/BZ90</f>
        <v>177.47747747747746</v>
      </c>
      <c r="DN90" s="22">
        <f>BR90/BZ90</f>
        <v>18.378378378378375</v>
      </c>
      <c r="DO90" s="22"/>
      <c r="DP90" s="20">
        <f>AY90/BZ90</f>
        <v>2280.1801801801798</v>
      </c>
      <c r="DQ90" s="22"/>
      <c r="DR90" s="22"/>
      <c r="DS90" s="19"/>
      <c r="DT90" s="23">
        <f t="shared" si="247"/>
        <v>3.9510075069142629E-4</v>
      </c>
      <c r="DU90" s="22"/>
      <c r="DV90" s="22">
        <f>BK90/BM90</f>
        <v>10.962566844919786</v>
      </c>
      <c r="DW90" s="22"/>
      <c r="DX90" s="22">
        <f t="shared" ref="DX90:DX98" si="250">BK90*100/BJ90</f>
        <v>33.884297520661157</v>
      </c>
      <c r="DY90" s="22">
        <f>CC90*100/BJ90</f>
        <v>4.7933884297520661</v>
      </c>
      <c r="DZ90" s="19">
        <f t="shared" si="248"/>
        <v>0.57898108444569363</v>
      </c>
      <c r="EA90" s="19"/>
      <c r="EB90" s="19">
        <f t="shared" ref="EB90:EB98" si="251">CC90/BK90</f>
        <v>0.14146341463414633</v>
      </c>
      <c r="EC90" s="19"/>
      <c r="EE90" s="19">
        <f t="shared" si="187"/>
        <v>37.966258038479879</v>
      </c>
      <c r="EF90" s="19">
        <f t="shared" si="188"/>
        <v>4.9894916693308735</v>
      </c>
      <c r="EG90" s="19">
        <f t="shared" si="189"/>
        <v>8.6058249170601844</v>
      </c>
      <c r="EH90" s="19">
        <f t="shared" si="190"/>
        <v>13.239448430563781</v>
      </c>
      <c r="EI90" s="19">
        <f t="shared" si="191"/>
        <v>0.18867825640326832</v>
      </c>
      <c r="EJ90" s="19">
        <f t="shared" si="192"/>
        <v>10.230554347199437</v>
      </c>
      <c r="EK90" s="19">
        <f t="shared" si="193"/>
        <v>14.654011247320506</v>
      </c>
      <c r="EL90" s="19">
        <f t="shared" si="194"/>
        <v>1.3417120455343525</v>
      </c>
      <c r="EM90" s="19">
        <f t="shared" si="195"/>
        <v>7.6414693843323667</v>
      </c>
      <c r="EN90" s="19">
        <f t="shared" si="196"/>
        <v>1.1425516637753472</v>
      </c>
      <c r="EO90" s="19">
        <f t="shared" si="197"/>
        <v>99.999999999999986</v>
      </c>
      <c r="EP90" s="19"/>
    </row>
    <row r="91" spans="1:146">
      <c r="A91" s="1" t="s">
        <v>7</v>
      </c>
      <c r="B91" s="1" t="s">
        <v>24</v>
      </c>
      <c r="C91" s="1">
        <v>2</v>
      </c>
      <c r="D91" s="1" t="s">
        <v>17</v>
      </c>
      <c r="E91" s="1" t="s">
        <v>23</v>
      </c>
      <c r="F91" s="2" t="s">
        <v>3</v>
      </c>
      <c r="G91" s="14">
        <v>39.28</v>
      </c>
      <c r="H91" s="14">
        <v>4.29</v>
      </c>
      <c r="I91" s="14">
        <v>7.9</v>
      </c>
      <c r="J91" s="14">
        <v>10.685300000000002</v>
      </c>
      <c r="K91" s="14">
        <v>0.27</v>
      </c>
      <c r="L91" s="14">
        <v>17.579999999999998</v>
      </c>
      <c r="M91" s="14">
        <v>11.03</v>
      </c>
      <c r="N91" s="14">
        <v>1.05</v>
      </c>
      <c r="O91" s="14">
        <v>4.9800000000000004</v>
      </c>
      <c r="P91" s="14">
        <v>0.36</v>
      </c>
      <c r="Q91" s="14">
        <v>2.36</v>
      </c>
      <c r="R91" s="14">
        <v>0.14000000000000001</v>
      </c>
      <c r="S91" s="15">
        <f t="shared" si="134"/>
        <v>99.785300000000007</v>
      </c>
      <c r="U91" s="86">
        <v>0.70550000000000002</v>
      </c>
      <c r="V91" s="86"/>
      <c r="W91" s="84"/>
      <c r="X91" s="84"/>
      <c r="Y91" s="84"/>
      <c r="Z91" s="131"/>
      <c r="AA91" s="131"/>
      <c r="AB91" s="14"/>
      <c r="AC91" s="14"/>
      <c r="AD91" s="14"/>
      <c r="AF91" s="19">
        <f t="shared" si="149"/>
        <v>0.7931429761514488</v>
      </c>
      <c r="AG91" s="20">
        <f t="shared" si="150"/>
        <v>25718.55</v>
      </c>
      <c r="AH91" s="20">
        <f t="shared" si="135"/>
        <v>41343.960000000006</v>
      </c>
      <c r="AI91" s="20">
        <f t="shared" si="243"/>
        <v>1571.04</v>
      </c>
      <c r="AJ91" s="19">
        <f t="shared" si="136"/>
        <v>6.03</v>
      </c>
      <c r="AK91" s="19">
        <f t="shared" si="152"/>
        <v>4.7428571428571429</v>
      </c>
      <c r="AL91" s="19">
        <f t="shared" si="153"/>
        <v>0.21084337349397589</v>
      </c>
      <c r="AM91" s="19">
        <f t="shared" si="154"/>
        <v>1.3962025316455693</v>
      </c>
      <c r="AN91" s="19">
        <f t="shared" si="155"/>
        <v>0.63037974683544307</v>
      </c>
      <c r="AO91" s="19">
        <f t="shared" si="156"/>
        <v>0.90095457809718593</v>
      </c>
      <c r="AP91" s="19">
        <f t="shared" si="157"/>
        <v>1.1099338682666975</v>
      </c>
      <c r="AQ91" s="19">
        <f t="shared" si="158"/>
        <v>0.29074719420471223</v>
      </c>
      <c r="AR91" s="19">
        <f t="shared" si="159"/>
        <v>0.90095457809718593</v>
      </c>
      <c r="AS91" s="118">
        <f t="shared" si="160"/>
        <v>860.32217743659328</v>
      </c>
      <c r="AT91" s="118">
        <f t="shared" si="161"/>
        <v>2265.858214972468</v>
      </c>
      <c r="AU91" s="14">
        <f t="shared" si="162"/>
        <v>0.12678207739307537</v>
      </c>
      <c r="AV91" s="14">
        <f t="shared" si="163"/>
        <v>0.68230911876158984</v>
      </c>
      <c r="AX91" s="118">
        <v>167</v>
      </c>
      <c r="AY91" s="118">
        <v>2004</v>
      </c>
      <c r="AZ91" s="118">
        <v>1880</v>
      </c>
      <c r="BB91" s="118">
        <v>22</v>
      </c>
      <c r="BC91" s="118"/>
      <c r="BD91" s="118">
        <v>615</v>
      </c>
      <c r="BE91" s="118">
        <v>40</v>
      </c>
      <c r="BF91" s="118">
        <v>629</v>
      </c>
      <c r="BG91" s="118"/>
      <c r="BH91" s="118"/>
      <c r="BI91" s="118"/>
      <c r="BJ91" s="118">
        <v>613</v>
      </c>
      <c r="BK91" s="118">
        <v>205</v>
      </c>
      <c r="BL91" s="117">
        <v>7.2</v>
      </c>
      <c r="BM91" s="117">
        <v>12.8</v>
      </c>
      <c r="BN91" s="117">
        <v>155</v>
      </c>
      <c r="BO91" s="117">
        <v>328</v>
      </c>
      <c r="BP91" s="117"/>
      <c r="BQ91" s="117"/>
      <c r="BR91" s="14">
        <v>16.8</v>
      </c>
      <c r="BS91" s="14">
        <v>4.32</v>
      </c>
      <c r="BT91" s="117"/>
      <c r="BU91" s="14">
        <v>1.51</v>
      </c>
      <c r="BV91" s="14"/>
      <c r="BW91" s="14"/>
      <c r="BX91" s="14"/>
      <c r="BY91" s="14"/>
      <c r="BZ91" s="14">
        <v>0.91</v>
      </c>
      <c r="CA91" s="14">
        <v>0.13</v>
      </c>
      <c r="CB91" s="117"/>
      <c r="CC91" s="117">
        <v>16</v>
      </c>
      <c r="CD91" s="118"/>
      <c r="CE91" s="118"/>
      <c r="CG91" s="22">
        <f t="shared" si="244"/>
        <v>640.49586776859508</v>
      </c>
      <c r="CH91" s="22">
        <f>BO91/0.635</f>
        <v>516.53543307086613</v>
      </c>
      <c r="CI91" s="22"/>
      <c r="CJ91" s="22"/>
      <c r="CK91" s="22">
        <f>BR91/0.156</f>
        <v>107.69230769230769</v>
      </c>
      <c r="CL91" s="22">
        <f>BS91/0.0591</f>
        <v>73.096446700507613</v>
      </c>
      <c r="CM91" s="22"/>
      <c r="CN91" s="22">
        <f>BU91/0.0376</f>
        <v>40.159574468085104</v>
      </c>
      <c r="CO91" s="22"/>
      <c r="CP91" s="22"/>
      <c r="CQ91" s="22"/>
      <c r="CR91" s="22"/>
      <c r="CS91" s="22">
        <f>BZ91/0.166</f>
        <v>5.4819277108433733</v>
      </c>
      <c r="CT91" s="22">
        <f>CA91/0.025</f>
        <v>5.2</v>
      </c>
      <c r="CU91" s="22">
        <f>AZ91/BK91</f>
        <v>9.1707317073170724</v>
      </c>
      <c r="CV91" s="117">
        <f t="shared" si="245"/>
        <v>12.129032258064516</v>
      </c>
      <c r="CW91" s="22">
        <f>BN91/BK91</f>
        <v>0.75609756097560976</v>
      </c>
      <c r="CX91" s="20">
        <f>AG91/BK91</f>
        <v>125.45634146341463</v>
      </c>
      <c r="CY91" s="22"/>
      <c r="CZ91" s="22"/>
      <c r="DA91" s="22">
        <f>AX91/BR91</f>
        <v>9.9404761904761898</v>
      </c>
      <c r="DB91" s="22">
        <f t="shared" si="249"/>
        <v>2.9902439024390244</v>
      </c>
      <c r="DC91" s="22">
        <f>AZ91/CC91</f>
        <v>117.5</v>
      </c>
      <c r="DD91" s="22">
        <f>CC91/BM91</f>
        <v>1.25</v>
      </c>
      <c r="DE91" s="22">
        <f>BM91/BZ91</f>
        <v>14.065934065934066</v>
      </c>
      <c r="DF91" s="22">
        <f>CC91/BZ91</f>
        <v>17.58241758241758</v>
      </c>
      <c r="DG91" s="19"/>
      <c r="DH91" s="20">
        <f t="shared" si="246"/>
        <v>266.73522580645164</v>
      </c>
      <c r="DI91" s="19"/>
      <c r="DJ91" s="22">
        <f>BN91/CA91</f>
        <v>1192.3076923076924</v>
      </c>
      <c r="DK91" s="22">
        <f>CG91/CT91</f>
        <v>123.17228226319136</v>
      </c>
      <c r="DL91" s="22">
        <f>CG91/CK91</f>
        <v>5.947461629279811</v>
      </c>
      <c r="DM91" s="22">
        <f>BN91/BZ91</f>
        <v>170.32967032967034</v>
      </c>
      <c r="DN91" s="22">
        <f>BR91/BZ91</f>
        <v>18.461538461538463</v>
      </c>
      <c r="DO91" s="22"/>
      <c r="DP91" s="20">
        <f>AY91/BZ91</f>
        <v>2202.197802197802</v>
      </c>
      <c r="DQ91" s="22"/>
      <c r="DR91" s="22"/>
      <c r="DS91" s="19"/>
      <c r="DT91" s="23">
        <f t="shared" si="247"/>
        <v>4.9900199600798399E-4</v>
      </c>
      <c r="DU91" s="22"/>
      <c r="DV91" s="22">
        <f>BK91/BM91</f>
        <v>16.015625</v>
      </c>
      <c r="DW91" s="22"/>
      <c r="DX91" s="22">
        <f t="shared" si="250"/>
        <v>33.442088091353995</v>
      </c>
      <c r="DY91" s="22">
        <f>CC91*100/BJ91</f>
        <v>2.6101141924959217</v>
      </c>
      <c r="DZ91" s="19">
        <f t="shared" si="248"/>
        <v>0.5649448362969437</v>
      </c>
      <c r="EA91" s="19"/>
      <c r="EB91" s="19">
        <f t="shared" si="251"/>
        <v>7.8048780487804878E-2</v>
      </c>
      <c r="EC91" s="19"/>
      <c r="EE91" s="19">
        <f t="shared" si="187"/>
        <v>40.31806933106698</v>
      </c>
      <c r="EF91" s="19">
        <f t="shared" si="188"/>
        <v>4.4033736616669383</v>
      </c>
      <c r="EG91" s="19">
        <f t="shared" si="189"/>
        <v>8.1087766729997242</v>
      </c>
      <c r="EH91" s="19">
        <f t="shared" si="190"/>
        <v>10.967684985316957</v>
      </c>
      <c r="EI91" s="19">
        <f t="shared" si="191"/>
        <v>0.2771354052797374</v>
      </c>
      <c r="EJ91" s="19">
        <f t="shared" si="192"/>
        <v>18.044594165991786</v>
      </c>
      <c r="EK91" s="19">
        <f t="shared" si="193"/>
        <v>11.321494519390752</v>
      </c>
      <c r="EL91" s="19">
        <f t="shared" si="194"/>
        <v>1.0777487983100897</v>
      </c>
      <c r="EM91" s="19">
        <f t="shared" si="195"/>
        <v>5.1116085862707124</v>
      </c>
      <c r="EN91" s="19">
        <f t="shared" si="196"/>
        <v>0.3695138737063165</v>
      </c>
      <c r="EO91" s="19">
        <f t="shared" si="197"/>
        <v>99.999999999999986</v>
      </c>
      <c r="EP91" s="19"/>
    </row>
    <row r="92" spans="1:146">
      <c r="A92" s="1" t="s">
        <v>7</v>
      </c>
      <c r="B92" s="1" t="s">
        <v>6</v>
      </c>
      <c r="C92" s="1">
        <v>2</v>
      </c>
      <c r="D92" s="1" t="s">
        <v>17</v>
      </c>
      <c r="E92" s="1" t="s">
        <v>22</v>
      </c>
      <c r="F92" s="2" t="s">
        <v>3</v>
      </c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5"/>
      <c r="U92" s="86">
        <v>0.70609999999999995</v>
      </c>
      <c r="V92" s="86"/>
      <c r="W92" s="84"/>
      <c r="X92" s="84"/>
      <c r="Y92" s="84"/>
      <c r="Z92" s="131"/>
      <c r="AA92" s="131"/>
      <c r="AB92" s="14"/>
      <c r="AC92" s="14"/>
      <c r="AD92" s="14"/>
      <c r="AF92" s="19"/>
      <c r="AG92" s="20"/>
      <c r="AH92" s="20"/>
      <c r="AI92" s="20"/>
      <c r="AJ92" s="19"/>
      <c r="AK92" s="19"/>
      <c r="AL92" s="19"/>
      <c r="AM92" s="19"/>
      <c r="AN92" s="19"/>
      <c r="AO92" s="19"/>
      <c r="AP92" s="19"/>
      <c r="AQ92" s="19"/>
      <c r="AR92" s="19"/>
      <c r="AS92" s="118"/>
      <c r="AT92" s="118"/>
      <c r="AX92" s="118">
        <v>172</v>
      </c>
      <c r="AY92" s="118">
        <v>1932</v>
      </c>
      <c r="AZ92" s="118"/>
      <c r="BB92" s="118"/>
      <c r="BC92" s="118"/>
      <c r="BE92" s="118"/>
      <c r="BF92" s="118"/>
      <c r="BG92" s="118"/>
      <c r="BH92" s="118"/>
      <c r="BI92" s="118"/>
      <c r="BJ92" s="118">
        <v>502</v>
      </c>
      <c r="BK92" s="118">
        <v>208</v>
      </c>
      <c r="BL92" s="117"/>
      <c r="BM92" s="117"/>
      <c r="BN92" s="117"/>
      <c r="BO92" s="117"/>
      <c r="BP92" s="117"/>
      <c r="BQ92" s="117"/>
      <c r="BR92" s="14"/>
      <c r="BS92" s="14"/>
      <c r="BT92" s="117"/>
      <c r="BU92" s="14"/>
      <c r="BV92" s="14"/>
      <c r="BW92" s="14"/>
      <c r="BX92" s="14"/>
      <c r="BY92" s="14"/>
      <c r="BZ92" s="14"/>
      <c r="CA92" s="14"/>
      <c r="CB92" s="117"/>
      <c r="CC92" s="117"/>
      <c r="CD92" s="118"/>
      <c r="CE92" s="118"/>
      <c r="CG92" s="22"/>
      <c r="CH92" s="22"/>
      <c r="CI92" s="22"/>
      <c r="CJ92" s="22"/>
      <c r="CK92" s="22"/>
      <c r="CL92" s="22"/>
      <c r="CM92" s="22"/>
      <c r="CN92" s="22"/>
      <c r="CO92" s="22"/>
      <c r="CP92" s="22"/>
      <c r="CQ92" s="22"/>
      <c r="CR92" s="22"/>
      <c r="CS92" s="22"/>
      <c r="CT92" s="22"/>
      <c r="CU92" s="22"/>
      <c r="CV92" s="117"/>
      <c r="CW92" s="22"/>
      <c r="CX92" s="20"/>
      <c r="CY92" s="22"/>
      <c r="CZ92" s="22"/>
      <c r="DA92" s="22"/>
      <c r="DB92" s="22">
        <f t="shared" si="249"/>
        <v>2.4134615384615383</v>
      </c>
      <c r="DC92" s="22"/>
      <c r="DD92" s="22"/>
      <c r="DE92" s="22"/>
      <c r="DF92" s="22"/>
      <c r="DG92" s="19"/>
      <c r="DH92" s="20"/>
      <c r="DI92" s="19"/>
      <c r="DJ92" s="22"/>
      <c r="DK92" s="22"/>
      <c r="DL92" s="22"/>
      <c r="DM92" s="22"/>
      <c r="DN92" s="22"/>
      <c r="DO92" s="22"/>
      <c r="DP92" s="20"/>
      <c r="DQ92" s="22"/>
      <c r="DR92" s="22"/>
      <c r="DS92" s="19"/>
      <c r="DT92" s="23">
        <f t="shared" si="247"/>
        <v>5.1759834368530024E-4</v>
      </c>
      <c r="DU92" s="22"/>
      <c r="DV92" s="22"/>
      <c r="DW92" s="22"/>
      <c r="DX92" s="22">
        <f t="shared" si="250"/>
        <v>41.43426294820717</v>
      </c>
      <c r="DY92" s="22"/>
      <c r="DZ92" s="19"/>
      <c r="EA92" s="19"/>
      <c r="EB92" s="19">
        <f t="shared" si="251"/>
        <v>0</v>
      </c>
      <c r="EC92" s="19"/>
      <c r="EE92" s="19"/>
      <c r="EF92" s="19"/>
      <c r="EG92" s="19"/>
      <c r="EH92" s="19"/>
      <c r="EI92" s="19"/>
      <c r="EJ92" s="19"/>
      <c r="EK92" s="19"/>
      <c r="EL92" s="19"/>
      <c r="EM92" s="19"/>
      <c r="EN92" s="19"/>
      <c r="EO92" s="19"/>
      <c r="EP92" s="19"/>
    </row>
    <row r="93" spans="1:146">
      <c r="A93" s="1" t="s">
        <v>7</v>
      </c>
      <c r="B93" s="1" t="s">
        <v>8</v>
      </c>
      <c r="C93" s="1">
        <v>2</v>
      </c>
      <c r="D93" s="1" t="s">
        <v>17</v>
      </c>
      <c r="E93" s="1" t="s">
        <v>22</v>
      </c>
      <c r="F93" s="2" t="s">
        <v>3</v>
      </c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5"/>
      <c r="U93" s="86">
        <v>0.70550000000000002</v>
      </c>
      <c r="V93" s="86"/>
      <c r="W93" s="84"/>
      <c r="X93" s="84"/>
      <c r="Y93" s="84"/>
      <c r="Z93" s="131"/>
      <c r="AA93" s="131"/>
      <c r="AB93" s="14"/>
      <c r="AC93" s="14"/>
      <c r="AD93" s="14"/>
      <c r="AF93" s="19"/>
      <c r="AG93" s="20"/>
      <c r="AH93" s="20"/>
      <c r="AI93" s="20"/>
      <c r="AJ93" s="19"/>
      <c r="AK93" s="19"/>
      <c r="AL93" s="19"/>
      <c r="AM93" s="19"/>
      <c r="AN93" s="19"/>
      <c r="AO93" s="19"/>
      <c r="AP93" s="19"/>
      <c r="AQ93" s="19"/>
      <c r="AR93" s="19"/>
      <c r="AS93" s="118"/>
      <c r="AT93" s="118"/>
      <c r="AX93" s="118">
        <v>163</v>
      </c>
      <c r="AY93" s="118">
        <v>1054</v>
      </c>
      <c r="AZ93" s="118"/>
      <c r="BB93" s="118">
        <v>18</v>
      </c>
      <c r="BC93" s="118"/>
      <c r="BE93" s="118">
        <v>239</v>
      </c>
      <c r="BF93" s="118"/>
      <c r="BG93" s="118"/>
      <c r="BH93" s="118"/>
      <c r="BI93" s="118"/>
      <c r="BJ93" s="118">
        <v>268</v>
      </c>
      <c r="BK93" s="118">
        <v>135</v>
      </c>
      <c r="BL93" s="117">
        <v>4</v>
      </c>
      <c r="BM93" s="117">
        <v>152</v>
      </c>
      <c r="BN93" s="117">
        <v>72.900000000000006</v>
      </c>
      <c r="BO93" s="117">
        <v>153</v>
      </c>
      <c r="BP93" s="117"/>
      <c r="BQ93" s="117"/>
      <c r="BR93" s="14">
        <v>7.58</v>
      </c>
      <c r="BS93" s="14">
        <v>1.85</v>
      </c>
      <c r="BT93" s="117"/>
      <c r="BU93" s="14">
        <v>0.69</v>
      </c>
      <c r="BV93" s="14"/>
      <c r="BW93" s="14"/>
      <c r="BX93" s="14"/>
      <c r="BY93" s="14"/>
      <c r="BZ93" s="14">
        <v>0.34</v>
      </c>
      <c r="CA93" s="14">
        <v>0.04</v>
      </c>
      <c r="CB93" s="117"/>
      <c r="CC93" s="117">
        <v>10</v>
      </c>
      <c r="CD93" s="118"/>
      <c r="CE93" s="118"/>
      <c r="CG93" s="22">
        <f>BN93/0.242</f>
        <v>301.23966942148763</v>
      </c>
      <c r="CH93" s="22">
        <f>BO93/0.635</f>
        <v>240.94488188976376</v>
      </c>
      <c r="CI93" s="22"/>
      <c r="CJ93" s="22"/>
      <c r="CK93" s="22">
        <f>BR93/0.156</f>
        <v>48.589743589743591</v>
      </c>
      <c r="CL93" s="22">
        <f>BS93/0.0591</f>
        <v>31.302876480541457</v>
      </c>
      <c r="CM93" s="22"/>
      <c r="CN93" s="22">
        <f>BU93/0.0376</f>
        <v>18.351063829787233</v>
      </c>
      <c r="CO93" s="22"/>
      <c r="CP93" s="22"/>
      <c r="CQ93" s="22"/>
      <c r="CR93" s="22"/>
      <c r="CS93" s="22">
        <f>BZ93/0.166</f>
        <v>2.0481927710843375</v>
      </c>
      <c r="CT93" s="22">
        <f>CA93/0.025</f>
        <v>1.5999999999999999</v>
      </c>
      <c r="CU93" s="22"/>
      <c r="CV93" s="117"/>
      <c r="CW93" s="22">
        <f>BN93/BK93</f>
        <v>0.54</v>
      </c>
      <c r="CX93" s="20"/>
      <c r="CY93" s="22"/>
      <c r="CZ93" s="22"/>
      <c r="DA93" s="22">
        <f>AX93/BR93</f>
        <v>21.503957783641162</v>
      </c>
      <c r="DB93" s="22">
        <f t="shared" si="249"/>
        <v>1.9851851851851852</v>
      </c>
      <c r="DC93" s="22"/>
      <c r="DD93" s="22">
        <f>CC93/BM93</f>
        <v>6.5789473684210523E-2</v>
      </c>
      <c r="DE93" s="22">
        <f>BM93/BZ93</f>
        <v>447.05882352941171</v>
      </c>
      <c r="DF93" s="22">
        <f>CC93/BZ93</f>
        <v>29.411764705882351</v>
      </c>
      <c r="DG93" s="19"/>
      <c r="DH93" s="20"/>
      <c r="DI93" s="19"/>
      <c r="DJ93" s="22">
        <f>BN93/CA93</f>
        <v>1822.5</v>
      </c>
      <c r="DK93" s="22">
        <f>CG93/CT93</f>
        <v>188.2747933884298</v>
      </c>
      <c r="DL93" s="22">
        <f>CG93/CK93</f>
        <v>6.1996554656664999</v>
      </c>
      <c r="DM93" s="22">
        <f>BN93/BZ93</f>
        <v>214.41176470588235</v>
      </c>
      <c r="DN93" s="22">
        <f>BR93/BZ93</f>
        <v>22.294117647058822</v>
      </c>
      <c r="DO93" s="22"/>
      <c r="DP93" s="20">
        <f>AY93/BZ93</f>
        <v>3100</v>
      </c>
      <c r="DQ93" s="22"/>
      <c r="DR93" s="22"/>
      <c r="DS93" s="19"/>
      <c r="DT93" s="23">
        <f t="shared" si="247"/>
        <v>9.4876660341555979E-4</v>
      </c>
      <c r="DU93" s="22"/>
      <c r="DV93" s="22">
        <f>BK93/BM93</f>
        <v>0.88815789473684215</v>
      </c>
      <c r="DW93" s="22"/>
      <c r="DX93" s="22">
        <f t="shared" si="250"/>
        <v>50.373134328358212</v>
      </c>
      <c r="DY93" s="22">
        <f>CC93*100/BJ93</f>
        <v>3.7313432835820897</v>
      </c>
      <c r="DZ93" s="19"/>
      <c r="EA93" s="19"/>
      <c r="EB93" s="19">
        <f t="shared" si="251"/>
        <v>7.407407407407407E-2</v>
      </c>
      <c r="EC93" s="19"/>
      <c r="EE93" s="19"/>
      <c r="EF93" s="19"/>
      <c r="EG93" s="19"/>
      <c r="EH93" s="19"/>
      <c r="EI93" s="19"/>
      <c r="EJ93" s="19"/>
      <c r="EK93" s="19"/>
      <c r="EL93" s="19"/>
      <c r="EM93" s="19"/>
      <c r="EN93" s="19"/>
      <c r="EO93" s="19"/>
      <c r="EP93" s="19"/>
    </row>
    <row r="94" spans="1:146">
      <c r="A94" s="1" t="s">
        <v>7</v>
      </c>
      <c r="B94" s="1" t="s">
        <v>8</v>
      </c>
      <c r="C94" s="1">
        <v>2</v>
      </c>
      <c r="D94" s="1" t="s">
        <v>17</v>
      </c>
      <c r="E94" s="1" t="s">
        <v>21</v>
      </c>
      <c r="F94" s="2" t="s">
        <v>3</v>
      </c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5"/>
      <c r="U94" s="86">
        <v>0.7046</v>
      </c>
      <c r="V94" s="86"/>
      <c r="W94" s="84"/>
      <c r="X94" s="84"/>
      <c r="Y94" s="84"/>
      <c r="Z94" s="131"/>
      <c r="AA94" s="131"/>
      <c r="AB94" s="14"/>
      <c r="AC94" s="14"/>
      <c r="AD94" s="14"/>
      <c r="AF94" s="19"/>
      <c r="AG94" s="20"/>
      <c r="AH94" s="20"/>
      <c r="AI94" s="20"/>
      <c r="AJ94" s="19"/>
      <c r="AK94" s="19"/>
      <c r="AL94" s="19"/>
      <c r="AM94" s="19"/>
      <c r="AN94" s="19"/>
      <c r="AO94" s="19"/>
      <c r="AP94" s="19"/>
      <c r="AQ94" s="19"/>
      <c r="AR94" s="19"/>
      <c r="AS94" s="118"/>
      <c r="AT94" s="118"/>
      <c r="AX94" s="118">
        <v>160</v>
      </c>
      <c r="AY94" s="118">
        <v>2043</v>
      </c>
      <c r="AZ94" s="118"/>
      <c r="BB94" s="118">
        <v>18</v>
      </c>
      <c r="BC94" s="118"/>
      <c r="BE94" s="118">
        <v>91</v>
      </c>
      <c r="BF94" s="118"/>
      <c r="BG94" s="118"/>
      <c r="BH94" s="118"/>
      <c r="BI94" s="118"/>
      <c r="BJ94" s="118">
        <v>394</v>
      </c>
      <c r="BK94" s="118">
        <v>111</v>
      </c>
      <c r="BL94" s="117">
        <v>4.5</v>
      </c>
      <c r="BM94" s="117">
        <v>8.1</v>
      </c>
      <c r="BN94" s="117">
        <v>67.900000000000006</v>
      </c>
      <c r="BO94" s="117">
        <v>144</v>
      </c>
      <c r="BP94" s="117"/>
      <c r="BQ94" s="117"/>
      <c r="BR94" s="14">
        <v>7.28</v>
      </c>
      <c r="BS94" s="14">
        <v>1.78</v>
      </c>
      <c r="BT94" s="117"/>
      <c r="BU94" s="14">
        <v>0.64</v>
      </c>
      <c r="BV94" s="14"/>
      <c r="BW94" s="14"/>
      <c r="BX94" s="14"/>
      <c r="BY94" s="14"/>
      <c r="BZ94" s="14">
        <v>0.36</v>
      </c>
      <c r="CA94" s="14">
        <v>0.04</v>
      </c>
      <c r="CB94" s="117"/>
      <c r="CC94" s="117">
        <v>7.7</v>
      </c>
      <c r="CD94" s="118"/>
      <c r="CE94" s="118"/>
      <c r="CG94" s="22">
        <f>BN94/0.242</f>
        <v>280.57851239669424</v>
      </c>
      <c r="CH94" s="22">
        <f>BO94/0.635</f>
        <v>226.77165354330708</v>
      </c>
      <c r="CI94" s="22"/>
      <c r="CJ94" s="22"/>
      <c r="CK94" s="22">
        <f>BR94/0.156</f>
        <v>46.666666666666671</v>
      </c>
      <c r="CL94" s="22">
        <f>BS94/0.0591</f>
        <v>30.118443316412861</v>
      </c>
      <c r="CM94" s="22"/>
      <c r="CN94" s="22">
        <f>BU94/0.0376</f>
        <v>17.021276595744681</v>
      </c>
      <c r="CO94" s="22"/>
      <c r="CP94" s="22"/>
      <c r="CQ94" s="22"/>
      <c r="CR94" s="22"/>
      <c r="CS94" s="22">
        <f>BZ94/0.166</f>
        <v>2.1686746987951806</v>
      </c>
      <c r="CT94" s="22">
        <f>CA94/0.025</f>
        <v>1.5999999999999999</v>
      </c>
      <c r="CU94" s="22"/>
      <c r="CV94" s="117"/>
      <c r="CW94" s="22">
        <f>BN94/BK94</f>
        <v>0.61171171171171179</v>
      </c>
      <c r="CX94" s="20"/>
      <c r="CY94" s="22"/>
      <c r="CZ94" s="22"/>
      <c r="DA94" s="22">
        <f>AX94/BR94</f>
        <v>21.978021978021978</v>
      </c>
      <c r="DB94" s="22">
        <f t="shared" si="249"/>
        <v>3.5495495495495497</v>
      </c>
      <c r="DC94" s="22"/>
      <c r="DD94" s="22">
        <f>CC94/BM94</f>
        <v>0.9506172839506174</v>
      </c>
      <c r="DE94" s="22">
        <f>BM94/BZ94</f>
        <v>22.5</v>
      </c>
      <c r="DF94" s="22">
        <f>CC94/BZ94</f>
        <v>21.388888888888889</v>
      </c>
      <c r="DG94" s="19"/>
      <c r="DH94" s="20"/>
      <c r="DI94" s="19"/>
      <c r="DJ94" s="22">
        <f>BN94/CA94</f>
        <v>1697.5</v>
      </c>
      <c r="DK94" s="22">
        <f>CG94/CT94</f>
        <v>175.36157024793391</v>
      </c>
      <c r="DL94" s="22">
        <f>CG94/CK94</f>
        <v>6.0123966942148757</v>
      </c>
      <c r="DM94" s="22">
        <f>BN94/BZ94</f>
        <v>188.61111111111114</v>
      </c>
      <c r="DN94" s="22">
        <f>BR94/BZ94</f>
        <v>20.222222222222225</v>
      </c>
      <c r="DO94" s="22"/>
      <c r="DP94" s="20">
        <f>AY94/BZ94</f>
        <v>5675</v>
      </c>
      <c r="DQ94" s="22"/>
      <c r="DR94" s="22"/>
      <c r="DS94" s="19"/>
      <c r="DT94" s="23">
        <f t="shared" si="247"/>
        <v>4.8947626040137058E-4</v>
      </c>
      <c r="DU94" s="22"/>
      <c r="DV94" s="22">
        <f>BK94/BM94</f>
        <v>13.703703703703704</v>
      </c>
      <c r="DW94" s="22"/>
      <c r="DX94" s="22">
        <f t="shared" si="250"/>
        <v>28.17258883248731</v>
      </c>
      <c r="DY94" s="22">
        <f>CC94*100/BJ94</f>
        <v>1.9543147208121827</v>
      </c>
      <c r="DZ94" s="19"/>
      <c r="EA94" s="19"/>
      <c r="EB94" s="19">
        <f t="shared" si="251"/>
        <v>6.9369369369369369E-2</v>
      </c>
      <c r="EC94" s="19"/>
      <c r="EE94" s="19"/>
      <c r="EF94" s="19"/>
      <c r="EG94" s="19"/>
      <c r="EH94" s="19"/>
      <c r="EI94" s="19"/>
      <c r="EJ94" s="19"/>
      <c r="EK94" s="19"/>
      <c r="EL94" s="19"/>
      <c r="EM94" s="19"/>
      <c r="EN94" s="19"/>
      <c r="EO94" s="19"/>
      <c r="EP94" s="19"/>
    </row>
    <row r="95" spans="1:146">
      <c r="A95" s="1" t="s">
        <v>7</v>
      </c>
      <c r="B95" s="1" t="s">
        <v>6</v>
      </c>
      <c r="C95" s="1">
        <v>2</v>
      </c>
      <c r="D95" s="1" t="s">
        <v>17</v>
      </c>
      <c r="E95" s="1" t="s">
        <v>20</v>
      </c>
      <c r="F95" s="2" t="s">
        <v>3</v>
      </c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5"/>
      <c r="U95" s="86">
        <v>0.70520000000000005</v>
      </c>
      <c r="V95" s="86"/>
      <c r="W95" s="84"/>
      <c r="X95" s="84"/>
      <c r="Y95" s="84"/>
      <c r="Z95" s="131"/>
      <c r="AA95" s="131"/>
      <c r="AB95" s="14"/>
      <c r="AC95" s="14"/>
      <c r="AD95" s="14"/>
      <c r="AF95" s="19"/>
      <c r="AG95" s="20"/>
      <c r="AH95" s="20"/>
      <c r="AI95" s="20"/>
      <c r="AJ95" s="19"/>
      <c r="AK95" s="19"/>
      <c r="AL95" s="19"/>
      <c r="AM95" s="19"/>
      <c r="AN95" s="19"/>
      <c r="AO95" s="19"/>
      <c r="AP95" s="19"/>
      <c r="AQ95" s="19"/>
      <c r="AR95" s="19"/>
      <c r="AS95" s="118"/>
      <c r="AT95" s="118"/>
      <c r="AX95" s="118">
        <v>137</v>
      </c>
      <c r="AY95" s="118">
        <v>4083</v>
      </c>
      <c r="AZ95" s="118"/>
      <c r="BB95" s="118"/>
      <c r="BC95" s="118"/>
      <c r="BE95" s="118"/>
      <c r="BF95" s="118"/>
      <c r="BG95" s="118"/>
      <c r="BH95" s="118"/>
      <c r="BI95" s="118"/>
      <c r="BJ95" s="118">
        <v>854</v>
      </c>
      <c r="BK95" s="118">
        <v>200</v>
      </c>
      <c r="BL95" s="117"/>
      <c r="BM95" s="117"/>
      <c r="BN95" s="117"/>
      <c r="BO95" s="117"/>
      <c r="BP95" s="117"/>
      <c r="BQ95" s="117"/>
      <c r="BR95" s="14"/>
      <c r="BS95" s="14"/>
      <c r="BT95" s="117"/>
      <c r="BU95" s="14"/>
      <c r="BV95" s="14"/>
      <c r="BW95" s="14"/>
      <c r="BX95" s="14"/>
      <c r="BY95" s="14"/>
      <c r="BZ95" s="14"/>
      <c r="CA95" s="14"/>
      <c r="CB95" s="117"/>
      <c r="CC95" s="117"/>
      <c r="CD95" s="118"/>
      <c r="CE95" s="118"/>
      <c r="CG95" s="22"/>
      <c r="CH95" s="22"/>
      <c r="CI95" s="22"/>
      <c r="CJ95" s="22"/>
      <c r="CK95" s="22"/>
      <c r="CL95" s="22"/>
      <c r="CM95" s="22"/>
      <c r="CN95" s="22">
        <f>BU95/0.0376</f>
        <v>0</v>
      </c>
      <c r="CO95" s="22"/>
      <c r="CP95" s="22"/>
      <c r="CQ95" s="22"/>
      <c r="CR95" s="22"/>
      <c r="CS95" s="22"/>
      <c r="CT95" s="22"/>
      <c r="CU95" s="22"/>
      <c r="CV95" s="117"/>
      <c r="CW95" s="22"/>
      <c r="CX95" s="20"/>
      <c r="CY95" s="22"/>
      <c r="CZ95" s="22"/>
      <c r="DA95" s="22"/>
      <c r="DB95" s="22">
        <f t="shared" si="249"/>
        <v>4.2699999999999996</v>
      </c>
      <c r="DC95" s="22"/>
      <c r="DD95" s="22"/>
      <c r="DE95" s="22"/>
      <c r="DF95" s="22"/>
      <c r="DG95" s="19"/>
      <c r="DH95" s="20"/>
      <c r="DI95" s="19"/>
      <c r="DJ95" s="22"/>
      <c r="DK95" s="22"/>
      <c r="DL95" s="22"/>
      <c r="DM95" s="22"/>
      <c r="DN95" s="22"/>
      <c r="DO95" s="22"/>
      <c r="DP95" s="20"/>
      <c r="DQ95" s="22"/>
      <c r="DR95" s="22"/>
      <c r="DS95" s="19"/>
      <c r="DT95" s="23">
        <f t="shared" si="247"/>
        <v>2.4491795248591722E-4</v>
      </c>
      <c r="DU95" s="22"/>
      <c r="DV95" s="22"/>
      <c r="DW95" s="22"/>
      <c r="DX95" s="22">
        <f t="shared" si="250"/>
        <v>23.419203747072601</v>
      </c>
      <c r="DY95" s="22"/>
      <c r="DZ95" s="19"/>
      <c r="EA95" s="19"/>
      <c r="EB95" s="19">
        <f t="shared" si="251"/>
        <v>0</v>
      </c>
      <c r="EC95" s="19"/>
      <c r="EE95" s="19"/>
      <c r="EF95" s="19"/>
      <c r="EG95" s="19"/>
      <c r="EH95" s="19"/>
      <c r="EI95" s="19"/>
      <c r="EJ95" s="19"/>
      <c r="EK95" s="19"/>
      <c r="EL95" s="19"/>
      <c r="EM95" s="19"/>
      <c r="EN95" s="19"/>
      <c r="EO95" s="19"/>
      <c r="EP95" s="19"/>
    </row>
    <row r="96" spans="1:146">
      <c r="A96" s="1" t="s">
        <v>7</v>
      </c>
      <c r="B96" s="1" t="s">
        <v>8</v>
      </c>
      <c r="C96" s="1">
        <v>2</v>
      </c>
      <c r="D96" s="1" t="s">
        <v>17</v>
      </c>
      <c r="E96" s="1" t="s">
        <v>12</v>
      </c>
      <c r="F96" s="2" t="s">
        <v>3</v>
      </c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5"/>
      <c r="U96" s="86">
        <v>0.70550000000000002</v>
      </c>
      <c r="V96" s="86"/>
      <c r="W96" s="84"/>
      <c r="X96" s="84"/>
      <c r="Y96" s="84"/>
      <c r="Z96" s="131"/>
      <c r="AA96" s="131"/>
      <c r="AB96" s="14"/>
      <c r="AC96" s="14"/>
      <c r="AD96" s="14"/>
      <c r="AF96" s="19"/>
      <c r="AG96" s="20"/>
      <c r="AH96" s="20"/>
      <c r="AI96" s="20"/>
      <c r="AJ96" s="19"/>
      <c r="AK96" s="19"/>
      <c r="AL96" s="19"/>
      <c r="AM96" s="19"/>
      <c r="AN96" s="19"/>
      <c r="AO96" s="19"/>
      <c r="AP96" s="19"/>
      <c r="AQ96" s="19"/>
      <c r="AR96" s="19"/>
      <c r="AS96" s="118"/>
      <c r="AT96" s="118"/>
      <c r="AX96" s="118">
        <v>176</v>
      </c>
      <c r="AY96" s="118">
        <v>2122</v>
      </c>
      <c r="AZ96" s="118"/>
      <c r="BB96" s="118">
        <v>24</v>
      </c>
      <c r="BC96" s="118"/>
      <c r="BE96" s="118">
        <v>66</v>
      </c>
      <c r="BF96" s="118"/>
      <c r="BG96" s="118"/>
      <c r="BH96" s="118"/>
      <c r="BI96" s="118"/>
      <c r="BJ96" s="118">
        <v>486</v>
      </c>
      <c r="BK96" s="118">
        <v>186</v>
      </c>
      <c r="BL96" s="117">
        <v>5.5</v>
      </c>
      <c r="BM96" s="117">
        <v>10.4</v>
      </c>
      <c r="BN96" s="117">
        <v>188</v>
      </c>
      <c r="BO96" s="117">
        <v>396</v>
      </c>
      <c r="BP96" s="117"/>
      <c r="BQ96" s="117"/>
      <c r="BR96" s="14">
        <v>18.2</v>
      </c>
      <c r="BS96" s="14">
        <v>4.47</v>
      </c>
      <c r="BT96" s="117">
        <v>1.54</v>
      </c>
      <c r="BU96" s="14"/>
      <c r="BV96" s="14"/>
      <c r="BW96" s="14"/>
      <c r="BX96" s="14"/>
      <c r="BY96" s="14"/>
      <c r="BZ96" s="14">
        <v>1.19</v>
      </c>
      <c r="CA96" s="14">
        <v>0.15</v>
      </c>
      <c r="CB96" s="117"/>
      <c r="CC96" s="117">
        <v>20</v>
      </c>
      <c r="CD96" s="118"/>
      <c r="CE96" s="118"/>
      <c r="CG96" s="22">
        <f>BN96/0.242</f>
        <v>776.85950413223145</v>
      </c>
      <c r="CH96" s="22">
        <f>BO96/0.635</f>
        <v>623.62204724409446</v>
      </c>
      <c r="CI96" s="22"/>
      <c r="CJ96" s="22"/>
      <c r="CK96" s="22">
        <f>BR96/0.156</f>
        <v>116.66666666666666</v>
      </c>
      <c r="CL96" s="22">
        <f>BS96/0.0591</f>
        <v>75.634517766497453</v>
      </c>
      <c r="CM96" s="22">
        <f>BT96/0.212</f>
        <v>7.2641509433962268</v>
      </c>
      <c r="CN96" s="22">
        <f>BU96/0.0376</f>
        <v>0</v>
      </c>
      <c r="CO96" s="22"/>
      <c r="CP96" s="22"/>
      <c r="CQ96" s="22"/>
      <c r="CR96" s="22"/>
      <c r="CS96" s="22">
        <f>BZ96/0.166</f>
        <v>7.1686746987951802</v>
      </c>
      <c r="CT96" s="22">
        <f>CA96/0.025</f>
        <v>5.9999999999999991</v>
      </c>
      <c r="CU96" s="22"/>
      <c r="CV96" s="117"/>
      <c r="CW96" s="22">
        <f>BN96/BK96</f>
        <v>1.010752688172043</v>
      </c>
      <c r="CX96" s="20"/>
      <c r="CY96" s="22"/>
      <c r="CZ96" s="22"/>
      <c r="DA96" s="22">
        <f>AX96/BR96</f>
        <v>9.6703296703296715</v>
      </c>
      <c r="DB96" s="22">
        <f t="shared" si="249"/>
        <v>2.6129032258064515</v>
      </c>
      <c r="DC96" s="22"/>
      <c r="DD96" s="22">
        <f>CC96/BM96</f>
        <v>1.9230769230769229</v>
      </c>
      <c r="DE96" s="22">
        <f>BM96/BZ96</f>
        <v>8.7394957983193287</v>
      </c>
      <c r="DF96" s="22">
        <f>CC96/BZ96</f>
        <v>16.806722689075631</v>
      </c>
      <c r="DG96" s="19"/>
      <c r="DH96" s="20"/>
      <c r="DI96" s="19"/>
      <c r="DJ96" s="22">
        <f>BN96/CA96</f>
        <v>1253.3333333333335</v>
      </c>
      <c r="DK96" s="22">
        <f>CG96/CT96</f>
        <v>129.47658402203859</v>
      </c>
      <c r="DL96" s="22">
        <f>CG96/CK96</f>
        <v>6.6587957497048418</v>
      </c>
      <c r="DM96" s="22">
        <f>BN96/BZ96</f>
        <v>157.98319327731093</v>
      </c>
      <c r="DN96" s="22">
        <f>BR96/BZ96</f>
        <v>15.294117647058824</v>
      </c>
      <c r="DO96" s="22"/>
      <c r="DP96" s="20">
        <f>AY96/BZ96</f>
        <v>1783.1932773109245</v>
      </c>
      <c r="DQ96" s="22"/>
      <c r="DR96" s="22">
        <f>AY96/(((BR96/0.195)*(BT96/0.259))^0.5)</f>
        <v>90.077539109081201</v>
      </c>
      <c r="DS96" s="19">
        <f>(BS96/0.074)/(((BR96/0.195)*(BT96/0.259))^0.5)</f>
        <v>2.5641707199836521</v>
      </c>
      <c r="DT96" s="23">
        <f t="shared" si="247"/>
        <v>4.71253534401508E-4</v>
      </c>
      <c r="DU96" s="22"/>
      <c r="DV96" s="22">
        <f>BK96/BM96</f>
        <v>17.884615384615383</v>
      </c>
      <c r="DW96" s="22"/>
      <c r="DX96" s="22">
        <f t="shared" si="250"/>
        <v>38.271604938271608</v>
      </c>
      <c r="DY96" s="22">
        <f>CC96*100/BJ96</f>
        <v>4.1152263374485596</v>
      </c>
      <c r="DZ96" s="19"/>
      <c r="EA96" s="19"/>
      <c r="EB96" s="19">
        <f t="shared" si="251"/>
        <v>0.10752688172043011</v>
      </c>
      <c r="EC96" s="19"/>
      <c r="EE96" s="19"/>
      <c r="EF96" s="19"/>
      <c r="EG96" s="19"/>
      <c r="EH96" s="19"/>
      <c r="EI96" s="19"/>
      <c r="EJ96" s="19"/>
      <c r="EK96" s="19"/>
      <c r="EL96" s="19"/>
      <c r="EM96" s="19"/>
      <c r="EN96" s="19"/>
      <c r="EO96" s="19"/>
      <c r="EP96" s="19"/>
    </row>
    <row r="97" spans="1:146">
      <c r="A97" s="1" t="s">
        <v>7</v>
      </c>
      <c r="B97" s="1" t="s">
        <v>8</v>
      </c>
      <c r="C97" s="1">
        <v>2</v>
      </c>
      <c r="D97" s="1" t="s">
        <v>17</v>
      </c>
      <c r="E97" s="1" t="s">
        <v>12</v>
      </c>
      <c r="F97" s="2" t="s">
        <v>3</v>
      </c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5"/>
      <c r="U97" s="86">
        <v>0.70589999999999997</v>
      </c>
      <c r="V97" s="86"/>
      <c r="W97" s="84"/>
      <c r="X97" s="84"/>
      <c r="Y97" s="84"/>
      <c r="Z97" s="131"/>
      <c r="AA97" s="131"/>
      <c r="AB97" s="14"/>
      <c r="AC97" s="14"/>
      <c r="AD97" s="14"/>
      <c r="AF97" s="19"/>
      <c r="AG97" s="20"/>
      <c r="AH97" s="20"/>
      <c r="AI97" s="20"/>
      <c r="AJ97" s="19"/>
      <c r="AK97" s="19"/>
      <c r="AL97" s="19"/>
      <c r="AM97" s="19"/>
      <c r="AN97" s="19"/>
      <c r="AO97" s="19"/>
      <c r="AP97" s="19"/>
      <c r="AQ97" s="19"/>
      <c r="AR97" s="19"/>
      <c r="AS97" s="118"/>
      <c r="AT97" s="118"/>
      <c r="AX97" s="118">
        <v>206</v>
      </c>
      <c r="AY97" s="118">
        <v>1174</v>
      </c>
      <c r="AZ97" s="118"/>
      <c r="BB97" s="118">
        <v>24</v>
      </c>
      <c r="BC97" s="118"/>
      <c r="BE97" s="118">
        <v>80</v>
      </c>
      <c r="BF97" s="118"/>
      <c r="BG97" s="118"/>
      <c r="BH97" s="118"/>
      <c r="BI97" s="118"/>
      <c r="BJ97" s="118">
        <v>318</v>
      </c>
      <c r="BK97" s="118">
        <v>162</v>
      </c>
      <c r="BL97" s="117">
        <v>4.8</v>
      </c>
      <c r="BM97" s="117">
        <v>11.2</v>
      </c>
      <c r="BN97" s="117">
        <v>134</v>
      </c>
      <c r="BO97" s="117">
        <v>285</v>
      </c>
      <c r="BP97" s="117"/>
      <c r="BQ97" s="117"/>
      <c r="BR97" s="14">
        <v>13.1</v>
      </c>
      <c r="BS97" s="14">
        <v>3.26</v>
      </c>
      <c r="BT97" s="117">
        <v>1.1499999999999999</v>
      </c>
      <c r="BU97" s="14"/>
      <c r="BV97" s="14"/>
      <c r="BW97" s="14"/>
      <c r="BX97" s="14"/>
      <c r="BY97" s="14"/>
      <c r="BZ97" s="14">
        <v>0.92</v>
      </c>
      <c r="CA97" s="14">
        <v>0.13</v>
      </c>
      <c r="CB97" s="117"/>
      <c r="CC97" s="117">
        <v>18</v>
      </c>
      <c r="CD97" s="118"/>
      <c r="CE97" s="118"/>
      <c r="CG97" s="22">
        <f>BN97/0.242</f>
        <v>553.71900826446279</v>
      </c>
      <c r="CH97" s="22">
        <f>BO97/0.635</f>
        <v>448.81889763779526</v>
      </c>
      <c r="CI97" s="22"/>
      <c r="CJ97" s="22"/>
      <c r="CK97" s="22">
        <f>BR97/0.156</f>
        <v>83.974358974358978</v>
      </c>
      <c r="CL97" s="22">
        <f>BS97/0.0591</f>
        <v>55.160744500846022</v>
      </c>
      <c r="CM97" s="22">
        <f>BT97/0.212</f>
        <v>5.4245283018867925</v>
      </c>
      <c r="CN97" s="22">
        <f>BU97/0.0376</f>
        <v>0</v>
      </c>
      <c r="CO97" s="22"/>
      <c r="CP97" s="22"/>
      <c r="CQ97" s="22"/>
      <c r="CR97" s="22"/>
      <c r="CS97" s="22">
        <f>BZ97/0.166</f>
        <v>5.5421686746987948</v>
      </c>
      <c r="CT97" s="22">
        <f>CA97/0.025</f>
        <v>5.2</v>
      </c>
      <c r="CU97" s="22"/>
      <c r="CV97" s="117"/>
      <c r="CW97" s="22">
        <f>BN97/BK97</f>
        <v>0.8271604938271605</v>
      </c>
      <c r="CX97" s="20"/>
      <c r="CY97" s="22"/>
      <c r="CZ97" s="22"/>
      <c r="DA97" s="22">
        <f>AX97/BR97</f>
        <v>15.725190839694656</v>
      </c>
      <c r="DB97" s="22">
        <f t="shared" si="249"/>
        <v>1.962962962962963</v>
      </c>
      <c r="DC97" s="22"/>
      <c r="DD97" s="22">
        <f>CC97/BM97</f>
        <v>1.6071428571428572</v>
      </c>
      <c r="DE97" s="22">
        <f>BM97/BZ97</f>
        <v>12.17391304347826</v>
      </c>
      <c r="DF97" s="22">
        <f>CC97/BZ97</f>
        <v>19.565217391304348</v>
      </c>
      <c r="DG97" s="19"/>
      <c r="DH97" s="20"/>
      <c r="DI97" s="19"/>
      <c r="DJ97" s="22">
        <f>BN97/CA97</f>
        <v>1030.7692307692307</v>
      </c>
      <c r="DK97" s="22">
        <f>CG97/CT97</f>
        <v>106.48442466624284</v>
      </c>
      <c r="DL97" s="22">
        <f>CG97/CK97</f>
        <v>6.5939057472714646</v>
      </c>
      <c r="DM97" s="22">
        <f>BN97/BZ97</f>
        <v>145.65217391304347</v>
      </c>
      <c r="DN97" s="22">
        <f>BR97/BZ97</f>
        <v>14.239130434782608</v>
      </c>
      <c r="DO97" s="22"/>
      <c r="DP97" s="20">
        <f>AY97/BZ97</f>
        <v>1276.086956521739</v>
      </c>
      <c r="DQ97" s="22"/>
      <c r="DR97" s="22">
        <f>AY97/(((BR97/0.195)*(BT97/0.259))^0.5)</f>
        <v>67.975234835533314</v>
      </c>
      <c r="DS97" s="19">
        <f>(BS97/0.074)/(((BR97/0.195)*(BT97/0.259))^0.5)</f>
        <v>2.5507535517730862</v>
      </c>
      <c r="DT97" s="23">
        <f t="shared" si="247"/>
        <v>8.5178875638841568E-4</v>
      </c>
      <c r="DU97" s="22"/>
      <c r="DV97" s="22">
        <f>BK97/BM97</f>
        <v>14.464285714285715</v>
      </c>
      <c r="DW97" s="22"/>
      <c r="DX97" s="22">
        <f t="shared" si="250"/>
        <v>50.943396226415096</v>
      </c>
      <c r="DY97" s="22">
        <f>CC97*100/BJ97</f>
        <v>5.6603773584905657</v>
      </c>
      <c r="DZ97" s="19"/>
      <c r="EA97" s="19"/>
      <c r="EB97" s="19">
        <f t="shared" si="251"/>
        <v>0.1111111111111111</v>
      </c>
      <c r="EC97" s="19"/>
      <c r="EE97" s="19"/>
      <c r="EF97" s="19"/>
      <c r="EG97" s="19"/>
      <c r="EH97" s="19"/>
      <c r="EI97" s="19"/>
      <c r="EJ97" s="19"/>
      <c r="EK97" s="19"/>
      <c r="EL97" s="19"/>
      <c r="EM97" s="19"/>
      <c r="EN97" s="19"/>
      <c r="EO97" s="19"/>
      <c r="EP97" s="19"/>
    </row>
    <row r="98" spans="1:146">
      <c r="A98" s="1" t="s">
        <v>7</v>
      </c>
      <c r="B98" s="1" t="s">
        <v>6</v>
      </c>
      <c r="C98" s="1">
        <v>2</v>
      </c>
      <c r="D98" s="1" t="s">
        <v>17</v>
      </c>
      <c r="E98" s="1" t="s">
        <v>4</v>
      </c>
      <c r="F98" s="2" t="s">
        <v>3</v>
      </c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5"/>
      <c r="U98" s="86">
        <v>0.70479999999999998</v>
      </c>
      <c r="V98" s="86"/>
      <c r="W98" s="84"/>
      <c r="X98" s="84"/>
      <c r="Y98" s="84"/>
      <c r="Z98" s="131"/>
      <c r="AA98" s="131"/>
      <c r="AB98" s="14"/>
      <c r="AC98" s="14"/>
      <c r="AD98" s="14"/>
      <c r="AF98" s="19"/>
      <c r="AG98" s="20"/>
      <c r="AH98" s="20"/>
      <c r="AI98" s="20"/>
      <c r="AJ98" s="19"/>
      <c r="AK98" s="19"/>
      <c r="AL98" s="19"/>
      <c r="AM98" s="19"/>
      <c r="AN98" s="19"/>
      <c r="AO98" s="19"/>
      <c r="AP98" s="19"/>
      <c r="AQ98" s="19"/>
      <c r="AR98" s="19"/>
      <c r="AS98" s="118"/>
      <c r="AT98" s="118"/>
      <c r="AX98" s="118">
        <v>200</v>
      </c>
      <c r="AY98" s="118">
        <v>2114</v>
      </c>
      <c r="AZ98" s="118"/>
      <c r="BB98" s="118"/>
      <c r="BC98" s="118"/>
      <c r="BE98" s="118"/>
      <c r="BF98" s="118"/>
      <c r="BG98" s="118"/>
      <c r="BH98" s="118"/>
      <c r="BI98" s="118"/>
      <c r="BJ98" s="118">
        <v>519</v>
      </c>
      <c r="BK98" s="118">
        <v>119</v>
      </c>
      <c r="BL98" s="117"/>
      <c r="BM98" s="117"/>
      <c r="BN98" s="117"/>
      <c r="BO98" s="117"/>
      <c r="BP98" s="117"/>
      <c r="BQ98" s="117"/>
      <c r="BR98" s="14"/>
      <c r="BS98" s="14"/>
      <c r="BT98" s="117"/>
      <c r="BU98" s="14"/>
      <c r="BV98" s="14"/>
      <c r="BW98" s="14"/>
      <c r="BX98" s="14"/>
      <c r="BY98" s="14"/>
      <c r="BZ98" s="14"/>
      <c r="CA98" s="14"/>
      <c r="CB98" s="117"/>
      <c r="CC98" s="117"/>
      <c r="CD98" s="118"/>
      <c r="CE98" s="118"/>
      <c r="CG98" s="22"/>
      <c r="CH98" s="22"/>
      <c r="CI98" s="22"/>
      <c r="CJ98" s="22"/>
      <c r="CK98" s="22"/>
      <c r="CL98" s="22"/>
      <c r="CM98" s="22"/>
      <c r="CN98" s="22"/>
      <c r="CO98" s="22"/>
      <c r="CP98" s="22"/>
      <c r="CQ98" s="22"/>
      <c r="CR98" s="22"/>
      <c r="CS98" s="22"/>
      <c r="CT98" s="22"/>
      <c r="CU98" s="22"/>
      <c r="CV98" s="117"/>
      <c r="CW98" s="22"/>
      <c r="CX98" s="20"/>
      <c r="CY98" s="22"/>
      <c r="CZ98" s="22"/>
      <c r="DA98" s="22"/>
      <c r="DB98" s="22">
        <f t="shared" si="249"/>
        <v>4.3613445378151257</v>
      </c>
      <c r="DC98" s="22"/>
      <c r="DD98" s="22"/>
      <c r="DE98" s="22"/>
      <c r="DF98" s="22"/>
      <c r="DG98" s="19"/>
      <c r="DH98" s="20"/>
      <c r="DI98" s="19"/>
      <c r="DJ98" s="22"/>
      <c r="DK98" s="22"/>
      <c r="DL98" s="22"/>
      <c r="DM98" s="22"/>
      <c r="DN98" s="22"/>
      <c r="DO98" s="22"/>
      <c r="DP98" s="20"/>
      <c r="DQ98" s="22"/>
      <c r="DR98" s="22"/>
      <c r="DS98" s="19"/>
      <c r="DT98" s="23">
        <f t="shared" si="247"/>
        <v>4.7303689687795648E-4</v>
      </c>
      <c r="DU98" s="22"/>
      <c r="DV98" s="22"/>
      <c r="DW98" s="22"/>
      <c r="DX98" s="22">
        <f t="shared" si="250"/>
        <v>22.928709055876684</v>
      </c>
      <c r="DY98" s="22"/>
      <c r="DZ98" s="19"/>
      <c r="EA98" s="19"/>
      <c r="EB98" s="19">
        <f t="shared" si="251"/>
        <v>0</v>
      </c>
      <c r="EC98" s="19"/>
      <c r="EE98" s="19"/>
      <c r="EF98" s="19"/>
      <c r="EG98" s="19"/>
      <c r="EH98" s="19"/>
      <c r="EI98" s="19"/>
      <c r="EJ98" s="19"/>
      <c r="EK98" s="19"/>
      <c r="EL98" s="19"/>
      <c r="EM98" s="19"/>
      <c r="EN98" s="19"/>
      <c r="EO98" s="19"/>
      <c r="EP98" s="19"/>
    </row>
    <row r="99" spans="1:146">
      <c r="A99" s="1" t="s">
        <v>7</v>
      </c>
      <c r="B99" s="1" t="s">
        <v>6</v>
      </c>
      <c r="C99" s="1">
        <v>2</v>
      </c>
      <c r="D99" s="1" t="s">
        <v>17</v>
      </c>
      <c r="E99" s="1" t="s">
        <v>19</v>
      </c>
      <c r="F99" s="2" t="s">
        <v>3</v>
      </c>
      <c r="G99" s="14">
        <v>37.049999999999997</v>
      </c>
      <c r="H99" s="14">
        <v>4.09</v>
      </c>
      <c r="I99" s="14">
        <v>7.82</v>
      </c>
      <c r="J99" s="14">
        <v>10.915300000000002</v>
      </c>
      <c r="K99" s="14">
        <v>0.25</v>
      </c>
      <c r="L99" s="14">
        <v>14.76</v>
      </c>
      <c r="M99" s="14">
        <v>14.28</v>
      </c>
      <c r="N99" s="14">
        <v>1.27</v>
      </c>
      <c r="O99" s="14">
        <v>5.39</v>
      </c>
      <c r="P99" s="14">
        <v>0.76</v>
      </c>
      <c r="Q99" s="14">
        <v>2.2000000000000002</v>
      </c>
      <c r="R99" s="14">
        <v>0.57999999999999996</v>
      </c>
      <c r="S99" s="15">
        <f t="shared" ref="S99:S104" si="252">G99+H99+I99+J99+K99+L99+M99+N99+O99+P99+Q99</f>
        <v>98.785300000000007</v>
      </c>
      <c r="U99" s="86"/>
      <c r="V99" s="86"/>
      <c r="W99" s="84"/>
      <c r="X99" s="84"/>
      <c r="Y99" s="84"/>
      <c r="Z99" s="131"/>
      <c r="AA99" s="131"/>
      <c r="AB99" s="14"/>
      <c r="AC99" s="14"/>
      <c r="AD99" s="14"/>
      <c r="AF99" s="19">
        <f t="shared" ref="AF99:AF104" si="253">(L99/40.31)/((L99/40.31)+(J99-(J99*0.15))*0.8998/71.85)</f>
        <v>0.75911581043499898</v>
      </c>
      <c r="AG99" s="20">
        <f t="shared" ref="AG99:AG104" si="254">H99*5995</f>
        <v>24519.55</v>
      </c>
      <c r="AH99" s="20">
        <f t="shared" ref="AH99:AH104" si="255">O99*8302</f>
        <v>44747.78</v>
      </c>
      <c r="AI99" s="20">
        <f t="shared" ref="AI99:AI104" si="256">P99*4364</f>
        <v>3316.64</v>
      </c>
      <c r="AJ99" s="19">
        <f t="shared" ref="AJ99:AJ104" si="257">N99+O99</f>
        <v>6.66</v>
      </c>
      <c r="AK99" s="19">
        <f t="shared" ref="AK99:AK104" si="258">O99/N99</f>
        <v>4.2440944881889759</v>
      </c>
      <c r="AL99" s="19">
        <f t="shared" ref="AL99:AL104" si="259">N99/O99</f>
        <v>0.23562152133580708</v>
      </c>
      <c r="AM99" s="19">
        <f t="shared" ref="AM99:AM104" si="260">EK99/EG99</f>
        <v>1.826086956521739</v>
      </c>
      <c r="AN99" s="19">
        <f t="shared" ref="AN99:AN104" si="261">O99/I99</f>
        <v>0.68925831202046028</v>
      </c>
      <c r="AO99" s="19">
        <f t="shared" ref="AO99:AO104" si="262">(EL99/61.98+EM99/94.2)/(EG99/101.96)</f>
        <v>1.0132003078685836</v>
      </c>
      <c r="AP99" s="19">
        <f t="shared" ref="AP99:AP104" si="263">1/AO99</f>
        <v>0.98697167009714748</v>
      </c>
      <c r="AQ99" s="19">
        <f t="shared" ref="AQ99:AQ104" si="264">(EG99/101.96)/((EK99/56.08)+(EL99/61.98)+(EM99/94.2))</f>
        <v>0.23077420114592631</v>
      </c>
      <c r="AR99" s="19">
        <f t="shared" ref="AR99:AR104" si="265">(EL99/61.98+EM99/94.2)/(EG99/101.96)</f>
        <v>1.0132003078685836</v>
      </c>
      <c r="AS99" s="118">
        <f t="shared" ref="AS99:AS104" si="266">1000*(4*(EE99/60.08)-11*(EL99/61.98*2+EM99/94.2*2)-2*(EH99/159.69+EF99/79.87))</f>
        <v>536.29992264679368</v>
      </c>
      <c r="AT99" s="118">
        <f t="shared" ref="AT99:AT104" si="267">1000*(6*(EK99/56.08)+2*(EJ99/40.3)+EG99/101.96*2)</f>
        <v>2499.052231369727</v>
      </c>
      <c r="AU99" s="14">
        <f t="shared" ref="AU99:AU104" si="268">O99/G99</f>
        <v>0.14547908232118759</v>
      </c>
      <c r="AV99" s="14">
        <f t="shared" ref="AV99:AV104" si="269">(O99/94.2)/(I99/101.96)</f>
        <v>0.74603797763913082</v>
      </c>
      <c r="AX99" s="118"/>
      <c r="AY99" s="118">
        <v>1775</v>
      </c>
      <c r="AZ99" s="118">
        <v>2327</v>
      </c>
      <c r="BB99" s="118"/>
      <c r="BC99" s="118"/>
      <c r="BD99" s="118">
        <v>478</v>
      </c>
      <c r="BE99" s="118"/>
      <c r="BF99" s="118"/>
      <c r="BG99" s="118"/>
      <c r="BH99" s="118"/>
      <c r="BI99" s="118"/>
      <c r="BJ99" s="118"/>
      <c r="BK99" s="118"/>
      <c r="BL99" s="117"/>
      <c r="BM99" s="117"/>
      <c r="BN99" s="117"/>
      <c r="BO99" s="117"/>
      <c r="BP99" s="117"/>
      <c r="BQ99" s="117"/>
      <c r="BR99" s="14"/>
      <c r="BS99" s="14"/>
      <c r="BT99" s="117"/>
      <c r="BU99" s="14"/>
      <c r="BV99" s="14"/>
      <c r="BW99" s="14"/>
      <c r="BX99" s="14"/>
      <c r="BY99" s="14"/>
      <c r="BZ99" s="14"/>
      <c r="CA99" s="14"/>
      <c r="CB99" s="117"/>
      <c r="CC99" s="117"/>
      <c r="CD99" s="118"/>
      <c r="CE99" s="118"/>
      <c r="CG99" s="22"/>
      <c r="CH99" s="22"/>
      <c r="CI99" s="22"/>
      <c r="CJ99" s="22"/>
      <c r="CK99" s="22"/>
      <c r="CL99" s="22"/>
      <c r="CM99" s="22"/>
      <c r="CN99" s="22"/>
      <c r="CO99" s="22"/>
      <c r="CP99" s="22"/>
      <c r="CQ99" s="22"/>
      <c r="CR99" s="22"/>
      <c r="CS99" s="22"/>
      <c r="CT99" s="22"/>
      <c r="CU99" s="22"/>
      <c r="CV99" s="117"/>
      <c r="CW99" s="22"/>
      <c r="CX99" s="20"/>
      <c r="CY99" s="22"/>
      <c r="CZ99" s="22"/>
      <c r="DA99" s="22"/>
      <c r="DB99" s="22"/>
      <c r="DC99" s="22"/>
      <c r="DD99" s="22"/>
      <c r="DE99" s="22"/>
      <c r="DF99" s="22"/>
      <c r="DG99" s="19"/>
      <c r="DH99" s="20"/>
      <c r="DI99" s="19"/>
      <c r="DJ99" s="22"/>
      <c r="DK99" s="22"/>
      <c r="DL99" s="22"/>
      <c r="DM99" s="22"/>
      <c r="DN99" s="22"/>
      <c r="DO99" s="22"/>
      <c r="DP99" s="20"/>
      <c r="DQ99" s="22"/>
      <c r="DR99" s="22"/>
      <c r="DS99" s="19"/>
      <c r="DT99" s="23">
        <f t="shared" si="247"/>
        <v>5.6338028169014088E-4</v>
      </c>
      <c r="DU99" s="22"/>
      <c r="DV99" s="22"/>
      <c r="DW99" s="22"/>
      <c r="DX99" s="22"/>
      <c r="DY99" s="22"/>
      <c r="DZ99" s="19">
        <f t="shared" ref="DZ99:DZ104" si="270">EK99*100/AY99</f>
        <v>0.8329497783343025</v>
      </c>
      <c r="EA99" s="19"/>
      <c r="EB99" s="19"/>
      <c r="EC99" s="19"/>
      <c r="EE99" s="19">
        <f t="shared" ref="EE99:EN104" si="271">100*G99/($G99+$H99+$I99+$J99+$K99+$L99+$M99+$N99+$O99+$P99)</f>
        <v>38.359874639308458</v>
      </c>
      <c r="EF99" s="19">
        <f t="shared" si="271"/>
        <v>4.234598846822446</v>
      </c>
      <c r="EG99" s="19">
        <f t="shared" si="271"/>
        <v>8.096470166785215</v>
      </c>
      <c r="EH99" s="19">
        <f t="shared" si="271"/>
        <v>11.301202149809548</v>
      </c>
      <c r="EI99" s="19">
        <f t="shared" si="271"/>
        <v>0.25883856031922042</v>
      </c>
      <c r="EJ99" s="19">
        <f t="shared" si="271"/>
        <v>15.281828601246772</v>
      </c>
      <c r="EK99" s="19">
        <f t="shared" si="271"/>
        <v>14.78485856543387</v>
      </c>
      <c r="EL99" s="19">
        <f t="shared" si="271"/>
        <v>1.3148998864216397</v>
      </c>
      <c r="EM99" s="19">
        <f t="shared" si="271"/>
        <v>5.5805593604823924</v>
      </c>
      <c r="EN99" s="19">
        <f t="shared" si="271"/>
        <v>0.78686922337043008</v>
      </c>
      <c r="EO99" s="19">
        <f t="shared" ref="EO99:EO104" si="272">SUM(EE99:EN99)</f>
        <v>99.999999999999986</v>
      </c>
      <c r="EP99" s="19"/>
    </row>
    <row r="100" spans="1:146">
      <c r="A100" s="1" t="s">
        <v>7</v>
      </c>
      <c r="B100" s="1" t="s">
        <v>6</v>
      </c>
      <c r="C100" s="1">
        <v>2</v>
      </c>
      <c r="D100" s="1" t="s">
        <v>17</v>
      </c>
      <c r="E100" s="1" t="s">
        <v>18</v>
      </c>
      <c r="F100" s="2" t="s">
        <v>3</v>
      </c>
      <c r="G100" s="14">
        <v>40</v>
      </c>
      <c r="H100" s="14">
        <v>4.75</v>
      </c>
      <c r="I100" s="14">
        <v>7.68</v>
      </c>
      <c r="J100" s="14">
        <v>10.6747</v>
      </c>
      <c r="K100" s="14">
        <v>0.15</v>
      </c>
      <c r="L100" s="14">
        <v>15.46</v>
      </c>
      <c r="M100" s="14">
        <v>9.7899999999999991</v>
      </c>
      <c r="N100" s="14">
        <v>0.65</v>
      </c>
      <c r="O100" s="14">
        <v>7.04</v>
      </c>
      <c r="P100" s="14">
        <v>0.42</v>
      </c>
      <c r="Q100" s="14">
        <v>1.66</v>
      </c>
      <c r="R100" s="14">
        <v>0.34</v>
      </c>
      <c r="S100" s="15">
        <f t="shared" si="252"/>
        <v>98.274699999999996</v>
      </c>
      <c r="U100" s="86"/>
      <c r="V100" s="86"/>
      <c r="W100" s="84"/>
      <c r="X100" s="84"/>
      <c r="Y100" s="84"/>
      <c r="Z100" s="131"/>
      <c r="AA100" s="131"/>
      <c r="AB100" s="14"/>
      <c r="AC100" s="14"/>
      <c r="AD100" s="14"/>
      <c r="AF100" s="19">
        <f t="shared" si="253"/>
        <v>0.7714403834388569</v>
      </c>
      <c r="AG100" s="20">
        <f t="shared" si="254"/>
        <v>28476.25</v>
      </c>
      <c r="AH100" s="20">
        <f t="shared" si="255"/>
        <v>58446.080000000002</v>
      </c>
      <c r="AI100" s="20">
        <f t="shared" si="256"/>
        <v>1832.8799999999999</v>
      </c>
      <c r="AJ100" s="19">
        <f t="shared" si="257"/>
        <v>7.69</v>
      </c>
      <c r="AK100" s="19">
        <f t="shared" si="258"/>
        <v>10.83076923076923</v>
      </c>
      <c r="AL100" s="19">
        <f t="shared" si="259"/>
        <v>9.2329545454545456E-2</v>
      </c>
      <c r="AM100" s="19">
        <f t="shared" si="260"/>
        <v>1.2747395833333333</v>
      </c>
      <c r="AN100" s="19">
        <f t="shared" si="261"/>
        <v>0.91666666666666674</v>
      </c>
      <c r="AO100" s="19">
        <f t="shared" si="262"/>
        <v>1.1314089798246676</v>
      </c>
      <c r="AP100" s="19">
        <f t="shared" si="263"/>
        <v>0.88385368848227475</v>
      </c>
      <c r="AQ100" s="19">
        <f t="shared" si="264"/>
        <v>0.28993619947458771</v>
      </c>
      <c r="AR100" s="19">
        <f t="shared" si="265"/>
        <v>1.1314089798246676</v>
      </c>
      <c r="AS100" s="118">
        <f t="shared" si="266"/>
        <v>554.3657819869145</v>
      </c>
      <c r="AT100" s="118">
        <f t="shared" si="267"/>
        <v>2034.1885964532378</v>
      </c>
      <c r="AU100" s="14">
        <f t="shared" si="268"/>
        <v>0.17599999999999999</v>
      </c>
      <c r="AV100" s="14">
        <f t="shared" si="269"/>
        <v>0.99217975937721148</v>
      </c>
      <c r="AX100" s="118"/>
      <c r="AY100" s="118">
        <v>1522</v>
      </c>
      <c r="AZ100" s="118">
        <v>3044</v>
      </c>
      <c r="BB100" s="118"/>
      <c r="BC100" s="118">
        <v>168</v>
      </c>
      <c r="BD100" s="118">
        <v>957</v>
      </c>
      <c r="BE100" s="118"/>
      <c r="BF100" s="118">
        <v>392</v>
      </c>
      <c r="BG100" s="118"/>
      <c r="BH100" s="118"/>
      <c r="BI100" s="118"/>
      <c r="BJ100" s="118"/>
      <c r="BK100" s="118"/>
      <c r="BL100" s="117"/>
      <c r="BM100" s="117"/>
      <c r="BN100" s="117"/>
      <c r="BO100" s="117"/>
      <c r="BP100" s="117"/>
      <c r="BQ100" s="117"/>
      <c r="BR100" s="14"/>
      <c r="BS100" s="14"/>
      <c r="BT100" s="117"/>
      <c r="BU100" s="14"/>
      <c r="BV100" s="14"/>
      <c r="BW100" s="14"/>
      <c r="BX100" s="14"/>
      <c r="BY100" s="14"/>
      <c r="BZ100" s="14"/>
      <c r="CA100" s="14"/>
      <c r="CB100" s="117"/>
      <c r="CC100" s="117"/>
      <c r="CD100" s="118"/>
      <c r="CE100" s="118"/>
      <c r="CG100" s="22"/>
      <c r="CH100" s="22"/>
      <c r="CI100" s="22"/>
      <c r="CJ100" s="22"/>
      <c r="CK100" s="22"/>
      <c r="CL100" s="22"/>
      <c r="CM100" s="22"/>
      <c r="CN100" s="22"/>
      <c r="CO100" s="22"/>
      <c r="CP100" s="22"/>
      <c r="CQ100" s="22"/>
      <c r="CR100" s="22"/>
      <c r="CS100" s="22"/>
      <c r="CT100" s="22"/>
      <c r="CU100" s="22"/>
      <c r="CV100" s="117"/>
      <c r="CW100" s="22"/>
      <c r="CX100" s="20"/>
      <c r="CY100" s="22"/>
      <c r="CZ100" s="22"/>
      <c r="DA100" s="22"/>
      <c r="DB100" s="22"/>
      <c r="DC100" s="22"/>
      <c r="DD100" s="22"/>
      <c r="DE100" s="22"/>
      <c r="DF100" s="22"/>
      <c r="DG100" s="19"/>
      <c r="DH100" s="20"/>
      <c r="DI100" s="19"/>
      <c r="DJ100" s="22"/>
      <c r="DK100" s="22"/>
      <c r="DL100" s="22"/>
      <c r="DM100" s="22"/>
      <c r="DN100" s="22"/>
      <c r="DO100" s="22"/>
      <c r="DP100" s="20"/>
      <c r="DQ100" s="22"/>
      <c r="DR100" s="22"/>
      <c r="DS100" s="19"/>
      <c r="DT100" s="23">
        <f t="shared" si="247"/>
        <v>6.5703022339027597E-4</v>
      </c>
      <c r="DU100" s="22"/>
      <c r="DV100" s="22"/>
      <c r="DW100" s="22"/>
      <c r="DX100" s="22"/>
      <c r="DY100" s="22"/>
      <c r="DZ100" s="19">
        <f t="shared" si="270"/>
        <v>0.66577093206218108</v>
      </c>
      <c r="EA100" s="19"/>
      <c r="EB100" s="19"/>
      <c r="EC100" s="19"/>
      <c r="EE100" s="19">
        <f t="shared" si="271"/>
        <v>41.401567256328491</v>
      </c>
      <c r="EF100" s="19">
        <f t="shared" si="271"/>
        <v>4.9164361116890083</v>
      </c>
      <c r="EG100" s="19">
        <f t="shared" si="271"/>
        <v>7.9491009132150694</v>
      </c>
      <c r="EH100" s="19">
        <f t="shared" si="271"/>
        <v>11.048732749778242</v>
      </c>
      <c r="EI100" s="19">
        <f t="shared" si="271"/>
        <v>0.15525587721123182</v>
      </c>
      <c r="EJ100" s="19">
        <f t="shared" si="271"/>
        <v>16.001705744570963</v>
      </c>
      <c r="EK100" s="19">
        <f t="shared" si="271"/>
        <v>10.133033585986396</v>
      </c>
      <c r="EL100" s="19">
        <f t="shared" si="271"/>
        <v>0.67277546791533793</v>
      </c>
      <c r="EM100" s="19">
        <f t="shared" si="271"/>
        <v>7.2866758371138136</v>
      </c>
      <c r="EN100" s="19">
        <f t="shared" si="271"/>
        <v>0.43471645619144911</v>
      </c>
      <c r="EO100" s="19">
        <f t="shared" si="272"/>
        <v>100.00000000000003</v>
      </c>
      <c r="EP100" s="19"/>
    </row>
    <row r="101" spans="1:146">
      <c r="A101" s="1" t="s">
        <v>7</v>
      </c>
      <c r="B101" s="1" t="s">
        <v>6</v>
      </c>
      <c r="C101" s="1">
        <v>2</v>
      </c>
      <c r="D101" s="1" t="s">
        <v>17</v>
      </c>
      <c r="E101" s="1" t="s">
        <v>16</v>
      </c>
      <c r="F101" s="2" t="s">
        <v>3</v>
      </c>
      <c r="G101" s="14">
        <v>38.619999999999997</v>
      </c>
      <c r="H101" s="14">
        <v>4.4400000000000004</v>
      </c>
      <c r="I101" s="14">
        <v>6.34</v>
      </c>
      <c r="J101" s="14">
        <v>11.26</v>
      </c>
      <c r="K101" s="14">
        <v>0.09</v>
      </c>
      <c r="L101" s="14">
        <v>20.059999999999999</v>
      </c>
      <c r="M101" s="14">
        <v>10.45</v>
      </c>
      <c r="N101" s="14">
        <v>1.27</v>
      </c>
      <c r="O101" s="14">
        <v>3.66</v>
      </c>
      <c r="P101" s="14">
        <v>0.45</v>
      </c>
      <c r="Q101" s="14">
        <v>2.52</v>
      </c>
      <c r="R101" s="14"/>
      <c r="S101" s="15">
        <f t="shared" si="252"/>
        <v>99.159999999999982</v>
      </c>
      <c r="U101" s="86"/>
      <c r="V101" s="86"/>
      <c r="W101" s="84"/>
      <c r="X101" s="84"/>
      <c r="Y101" s="84"/>
      <c r="Z101" s="131"/>
      <c r="AA101" s="131"/>
      <c r="AB101" s="14"/>
      <c r="AC101" s="14"/>
      <c r="AD101" s="14"/>
      <c r="AF101" s="19">
        <f t="shared" si="253"/>
        <v>0.80589494931478334</v>
      </c>
      <c r="AG101" s="20">
        <f t="shared" si="254"/>
        <v>26617.800000000003</v>
      </c>
      <c r="AH101" s="20">
        <f t="shared" si="255"/>
        <v>30385.32</v>
      </c>
      <c r="AI101" s="20">
        <f t="shared" si="256"/>
        <v>1963.8</v>
      </c>
      <c r="AJ101" s="19">
        <f t="shared" si="257"/>
        <v>4.93</v>
      </c>
      <c r="AK101" s="19">
        <f t="shared" si="258"/>
        <v>2.8818897637795278</v>
      </c>
      <c r="AL101" s="19">
        <f t="shared" si="259"/>
        <v>0.34699453551912568</v>
      </c>
      <c r="AM101" s="19">
        <f t="shared" si="260"/>
        <v>1.6482649842271293</v>
      </c>
      <c r="AN101" s="19">
        <f t="shared" si="261"/>
        <v>0.57728706624605686</v>
      </c>
      <c r="AO101" s="19">
        <f t="shared" si="262"/>
        <v>0.95437107367629281</v>
      </c>
      <c r="AP101" s="19">
        <f t="shared" si="263"/>
        <v>1.0478104665808257</v>
      </c>
      <c r="AQ101" s="19">
        <f t="shared" si="264"/>
        <v>0.25309345871443295</v>
      </c>
      <c r="AR101" s="19">
        <f t="shared" si="265"/>
        <v>0.95437107367629281</v>
      </c>
      <c r="AS101" s="118">
        <f t="shared" si="266"/>
        <v>1048.7032285796308</v>
      </c>
      <c r="AT101" s="118">
        <f t="shared" si="267"/>
        <v>2315.75087223528</v>
      </c>
      <c r="AU101" s="14">
        <f t="shared" si="268"/>
        <v>9.4769549456240304E-2</v>
      </c>
      <c r="AV101" s="14">
        <f t="shared" si="269"/>
        <v>0.62484277361409701</v>
      </c>
      <c r="AX101" s="118"/>
      <c r="AY101" s="118">
        <v>1352</v>
      </c>
      <c r="AZ101" s="118">
        <v>1969</v>
      </c>
      <c r="BB101" s="118"/>
      <c r="BC101" s="118"/>
      <c r="BD101" s="118">
        <v>136</v>
      </c>
      <c r="BE101" s="118"/>
      <c r="BF101" s="118">
        <v>628</v>
      </c>
      <c r="BG101" s="118"/>
      <c r="BH101" s="118"/>
      <c r="BI101" s="118"/>
      <c r="BJ101" s="118"/>
      <c r="BK101" s="118"/>
      <c r="BL101" s="117"/>
      <c r="BM101" s="117"/>
      <c r="BN101" s="117"/>
      <c r="BO101" s="117"/>
      <c r="BP101" s="117"/>
      <c r="BQ101" s="117"/>
      <c r="BR101" s="14"/>
      <c r="BS101" s="14"/>
      <c r="BT101" s="117"/>
      <c r="BU101" s="14"/>
      <c r="BV101" s="14"/>
      <c r="BW101" s="14"/>
      <c r="BX101" s="14"/>
      <c r="BY101" s="14"/>
      <c r="BZ101" s="14"/>
      <c r="CA101" s="14"/>
      <c r="CB101" s="117"/>
      <c r="CC101" s="117"/>
      <c r="CD101" s="118"/>
      <c r="CE101" s="118"/>
      <c r="CG101" s="22"/>
      <c r="CH101" s="22"/>
      <c r="CI101" s="22"/>
      <c r="CJ101" s="22"/>
      <c r="CK101" s="22"/>
      <c r="CL101" s="22"/>
      <c r="CM101" s="22"/>
      <c r="CN101" s="22"/>
      <c r="CO101" s="22"/>
      <c r="CP101" s="22"/>
      <c r="CQ101" s="22"/>
      <c r="CR101" s="22"/>
      <c r="CS101" s="22"/>
      <c r="CT101" s="22"/>
      <c r="CU101" s="22"/>
      <c r="CV101" s="117"/>
      <c r="CW101" s="22"/>
      <c r="CX101" s="20"/>
      <c r="CY101" s="22"/>
      <c r="CZ101" s="22"/>
      <c r="DA101" s="22"/>
      <c r="DB101" s="22"/>
      <c r="DC101" s="22"/>
      <c r="DD101" s="22"/>
      <c r="DE101" s="22"/>
      <c r="DF101" s="22"/>
      <c r="DG101" s="19"/>
      <c r="DH101" s="20"/>
      <c r="DI101" s="19"/>
      <c r="DJ101" s="22"/>
      <c r="DK101" s="22"/>
      <c r="DL101" s="22"/>
      <c r="DM101" s="22"/>
      <c r="DN101" s="22"/>
      <c r="DO101" s="22"/>
      <c r="DP101" s="20"/>
      <c r="DQ101" s="22"/>
      <c r="DR101" s="22"/>
      <c r="DS101" s="19"/>
      <c r="DT101" s="23">
        <f t="shared" si="247"/>
        <v>7.3964497041420117E-4</v>
      </c>
      <c r="DU101" s="22"/>
      <c r="DV101" s="22"/>
      <c r="DW101" s="22"/>
      <c r="DX101" s="22"/>
      <c r="DY101" s="22"/>
      <c r="DZ101" s="19">
        <f t="shared" si="270"/>
        <v>0.79980235314863446</v>
      </c>
      <c r="EA101" s="19"/>
      <c r="EB101" s="19"/>
      <c r="EC101" s="19"/>
      <c r="EE101" s="19">
        <f t="shared" si="271"/>
        <v>39.962748344370858</v>
      </c>
      <c r="EF101" s="19">
        <f t="shared" si="271"/>
        <v>4.5943708609271532</v>
      </c>
      <c r="EG101" s="19">
        <f t="shared" si="271"/>
        <v>6.5604304635761599</v>
      </c>
      <c r="EH101" s="19">
        <f t="shared" si="271"/>
        <v>11.651490066225167</v>
      </c>
      <c r="EI101" s="19">
        <f t="shared" si="271"/>
        <v>9.31291390728477E-2</v>
      </c>
      <c r="EJ101" s="19">
        <f t="shared" si="271"/>
        <v>20.757450331125828</v>
      </c>
      <c r="EK101" s="19">
        <f t="shared" si="271"/>
        <v>10.813327814569538</v>
      </c>
      <c r="EL101" s="19">
        <f t="shared" si="271"/>
        <v>1.314155629139073</v>
      </c>
      <c r="EM101" s="19">
        <f t="shared" si="271"/>
        <v>3.7872516556291398</v>
      </c>
      <c r="EN101" s="19">
        <f t="shared" si="271"/>
        <v>0.4656456953642385</v>
      </c>
      <c r="EO101" s="19">
        <f t="shared" si="272"/>
        <v>100</v>
      </c>
      <c r="EP101" s="19"/>
    </row>
    <row r="102" spans="1:146" s="24" customFormat="1">
      <c r="A102" s="24" t="s">
        <v>7</v>
      </c>
      <c r="B102" s="24" t="s">
        <v>15</v>
      </c>
      <c r="C102" s="24">
        <v>2</v>
      </c>
      <c r="D102" s="24" t="s">
        <v>14</v>
      </c>
      <c r="E102" s="24" t="s">
        <v>12</v>
      </c>
      <c r="F102" s="126" t="s">
        <v>3</v>
      </c>
      <c r="G102" s="26">
        <v>35.090000000000003</v>
      </c>
      <c r="H102" s="26">
        <v>4.8600000000000003</v>
      </c>
      <c r="I102" s="26">
        <v>7.7</v>
      </c>
      <c r="J102" s="26">
        <v>12.746600000000001</v>
      </c>
      <c r="K102" s="26">
        <v>0.26</v>
      </c>
      <c r="L102" s="26">
        <v>12.4</v>
      </c>
      <c r="M102" s="26">
        <v>16.059999999999999</v>
      </c>
      <c r="N102" s="26">
        <v>1.33</v>
      </c>
      <c r="O102" s="26">
        <v>3.56</v>
      </c>
      <c r="P102" s="26">
        <v>0.97</v>
      </c>
      <c r="Q102" s="26"/>
      <c r="R102" s="26">
        <v>1.53</v>
      </c>
      <c r="S102" s="27">
        <f t="shared" si="252"/>
        <v>94.976600000000005</v>
      </c>
      <c r="U102" s="100"/>
      <c r="V102" s="100"/>
      <c r="W102" s="137"/>
      <c r="X102" s="137"/>
      <c r="Y102" s="137"/>
      <c r="Z102" s="138"/>
      <c r="AA102" s="138"/>
      <c r="AB102" s="26"/>
      <c r="AC102" s="26"/>
      <c r="AD102" s="26"/>
      <c r="AF102" s="31">
        <f t="shared" si="253"/>
        <v>0.69392094649703662</v>
      </c>
      <c r="AG102" s="32">
        <f t="shared" si="254"/>
        <v>29135.7</v>
      </c>
      <c r="AH102" s="32">
        <f t="shared" si="255"/>
        <v>29555.119999999999</v>
      </c>
      <c r="AI102" s="32">
        <f t="shared" si="256"/>
        <v>4233.08</v>
      </c>
      <c r="AJ102" s="31">
        <f t="shared" si="257"/>
        <v>4.8900000000000006</v>
      </c>
      <c r="AK102" s="31">
        <f t="shared" si="258"/>
        <v>2.6766917293233083</v>
      </c>
      <c r="AL102" s="31">
        <f t="shared" si="259"/>
        <v>0.37359550561797755</v>
      </c>
      <c r="AM102" s="31">
        <f t="shared" si="260"/>
        <v>2.0857142857142859</v>
      </c>
      <c r="AN102" s="31">
        <f t="shared" si="261"/>
        <v>0.46233766233766233</v>
      </c>
      <c r="AO102" s="31">
        <f t="shared" si="262"/>
        <v>0.78456852240686359</v>
      </c>
      <c r="AP102" s="31">
        <f t="shared" si="263"/>
        <v>1.2745859302795446</v>
      </c>
      <c r="AQ102" s="31">
        <f t="shared" si="264"/>
        <v>0.21850085779197981</v>
      </c>
      <c r="AR102" s="31">
        <f t="shared" si="265"/>
        <v>0.78456852240686359</v>
      </c>
      <c r="AS102" s="127">
        <f t="shared" si="266"/>
        <v>791.10911012369718</v>
      </c>
      <c r="AT102" s="127">
        <f t="shared" si="267"/>
        <v>2616.1010900238766</v>
      </c>
      <c r="AU102" s="26">
        <f t="shared" si="268"/>
        <v>0.10145340552864063</v>
      </c>
      <c r="AV102" s="26">
        <f t="shared" si="269"/>
        <v>0.50042407698458646</v>
      </c>
      <c r="AX102" s="127">
        <v>220</v>
      </c>
      <c r="AY102" s="127">
        <v>6685</v>
      </c>
      <c r="AZ102" s="127">
        <v>3370</v>
      </c>
      <c r="BA102" s="128"/>
      <c r="BB102" s="127"/>
      <c r="BC102" s="127">
        <v>275</v>
      </c>
      <c r="BD102" s="127">
        <v>720</v>
      </c>
      <c r="BE102" s="127">
        <v>73</v>
      </c>
      <c r="BF102" s="127">
        <v>185</v>
      </c>
      <c r="BG102" s="127">
        <v>85</v>
      </c>
      <c r="BH102" s="127"/>
      <c r="BI102" s="127"/>
      <c r="BJ102" s="127">
        <v>1000</v>
      </c>
      <c r="BK102" s="127"/>
      <c r="BL102" s="128"/>
      <c r="BM102" s="128"/>
      <c r="BN102" s="128">
        <v>50</v>
      </c>
      <c r="BO102" s="128"/>
      <c r="BP102" s="128"/>
      <c r="BQ102" s="128"/>
      <c r="BR102" s="26"/>
      <c r="BS102" s="26"/>
      <c r="BT102" s="128"/>
      <c r="BU102" s="26"/>
      <c r="BV102" s="26"/>
      <c r="BW102" s="26"/>
      <c r="BX102" s="26"/>
      <c r="BY102" s="26"/>
      <c r="BZ102" s="26"/>
      <c r="CA102" s="26"/>
      <c r="CB102" s="128"/>
      <c r="CC102" s="128"/>
      <c r="CD102" s="127"/>
      <c r="CE102" s="127">
        <v>25</v>
      </c>
      <c r="CG102" s="34">
        <f>BN102/0.242</f>
        <v>206.61157024793388</v>
      </c>
      <c r="CH102" s="34"/>
      <c r="CI102" s="34"/>
      <c r="CJ102" s="34"/>
      <c r="CK102" s="34"/>
      <c r="CL102" s="34"/>
      <c r="CM102" s="34"/>
      <c r="CN102" s="34"/>
      <c r="CO102" s="34"/>
      <c r="CP102" s="34"/>
      <c r="CQ102" s="34"/>
      <c r="CR102" s="34"/>
      <c r="CS102" s="34"/>
      <c r="CT102" s="34"/>
      <c r="CU102" s="34"/>
      <c r="CV102" s="128">
        <f>AZ102/BN102</f>
        <v>67.400000000000006</v>
      </c>
      <c r="CW102" s="34"/>
      <c r="CX102" s="32"/>
      <c r="CY102" s="34"/>
      <c r="CZ102" s="34"/>
      <c r="DA102" s="34"/>
      <c r="DB102" s="34"/>
      <c r="DC102" s="34"/>
      <c r="DD102" s="34"/>
      <c r="DE102" s="34"/>
      <c r="DF102" s="34"/>
      <c r="DG102" s="31"/>
      <c r="DH102" s="32">
        <f>AH102/BN102</f>
        <v>591.10239999999999</v>
      </c>
      <c r="DI102" s="31"/>
      <c r="DJ102" s="34"/>
      <c r="DK102" s="34"/>
      <c r="DL102" s="34"/>
      <c r="DM102" s="34"/>
      <c r="DN102" s="34"/>
      <c r="DO102" s="34"/>
      <c r="DP102" s="32"/>
      <c r="DQ102" s="34"/>
      <c r="DR102" s="34"/>
      <c r="DS102" s="31"/>
      <c r="DT102" s="35">
        <f t="shared" si="247"/>
        <v>1.4958863126402394E-4</v>
      </c>
      <c r="DU102" s="34"/>
      <c r="DV102" s="34"/>
      <c r="DW102" s="34"/>
      <c r="DX102" s="34"/>
      <c r="DY102" s="34"/>
      <c r="DZ102" s="31">
        <f t="shared" si="270"/>
        <v>0.25294582224466072</v>
      </c>
      <c r="EA102" s="31"/>
      <c r="EB102" s="31"/>
      <c r="EC102" s="31"/>
      <c r="EE102" s="31">
        <f t="shared" si="271"/>
        <v>36.945942474251552</v>
      </c>
      <c r="EF102" s="31">
        <f t="shared" si="271"/>
        <v>5.1170498838661311</v>
      </c>
      <c r="EG102" s="31">
        <f t="shared" si="271"/>
        <v>8.1072601040677377</v>
      </c>
      <c r="EH102" s="31">
        <f t="shared" si="271"/>
        <v>13.420779434092188</v>
      </c>
      <c r="EI102" s="31">
        <f t="shared" si="271"/>
        <v>0.27375163987761192</v>
      </c>
      <c r="EJ102" s="31">
        <f t="shared" si="271"/>
        <v>13.055847440316878</v>
      </c>
      <c r="EK102" s="31">
        <f t="shared" si="271"/>
        <v>16.909428217055567</v>
      </c>
      <c r="EL102" s="31">
        <f t="shared" si="271"/>
        <v>1.4003449270662458</v>
      </c>
      <c r="EM102" s="31">
        <f t="shared" si="271"/>
        <v>3.7482916844780712</v>
      </c>
      <c r="EN102" s="31">
        <f t="shared" si="271"/>
        <v>1.0213041949280137</v>
      </c>
      <c r="EO102" s="31">
        <f t="shared" si="272"/>
        <v>99.999999999999986</v>
      </c>
      <c r="EP102" s="31"/>
    </row>
    <row r="103" spans="1:146">
      <c r="A103" s="1" t="s">
        <v>7</v>
      </c>
      <c r="B103" s="1" t="s">
        <v>9</v>
      </c>
      <c r="C103" s="1">
        <v>2</v>
      </c>
      <c r="D103" s="1" t="s">
        <v>11</v>
      </c>
      <c r="E103" s="1" t="s">
        <v>13</v>
      </c>
      <c r="F103" s="2" t="s">
        <v>3</v>
      </c>
      <c r="G103" s="14">
        <v>37.93</v>
      </c>
      <c r="H103" s="14">
        <v>4.12</v>
      </c>
      <c r="I103" s="14">
        <v>6.59</v>
      </c>
      <c r="J103" s="14">
        <v>11.6607</v>
      </c>
      <c r="K103" s="14">
        <v>0.18</v>
      </c>
      <c r="L103" s="14">
        <v>14.54</v>
      </c>
      <c r="M103" s="14">
        <v>15.23</v>
      </c>
      <c r="N103" s="14">
        <v>0.88</v>
      </c>
      <c r="O103" s="14">
        <v>2.65</v>
      </c>
      <c r="P103" s="14">
        <v>1.03</v>
      </c>
      <c r="Q103" s="14"/>
      <c r="R103" s="14">
        <v>0.5</v>
      </c>
      <c r="S103" s="15">
        <f t="shared" si="252"/>
        <v>94.810700000000011</v>
      </c>
      <c r="U103" s="86"/>
      <c r="V103" s="86"/>
      <c r="W103" s="84"/>
      <c r="X103" s="84"/>
      <c r="Y103" s="84"/>
      <c r="Z103" s="131"/>
      <c r="AA103" s="131"/>
      <c r="AB103" s="14"/>
      <c r="AC103" s="14"/>
      <c r="AD103" s="14"/>
      <c r="AF103" s="19">
        <f t="shared" si="253"/>
        <v>0.74398064757693494</v>
      </c>
      <c r="AG103" s="20">
        <f t="shared" si="254"/>
        <v>24699.4</v>
      </c>
      <c r="AH103" s="20">
        <f t="shared" si="255"/>
        <v>22000.3</v>
      </c>
      <c r="AI103" s="20">
        <f t="shared" si="256"/>
        <v>4494.92</v>
      </c>
      <c r="AJ103" s="19">
        <f t="shared" si="257"/>
        <v>3.53</v>
      </c>
      <c r="AK103" s="19">
        <f t="shared" si="258"/>
        <v>3.0113636363636362</v>
      </c>
      <c r="AL103" s="19">
        <f t="shared" si="259"/>
        <v>0.33207547169811324</v>
      </c>
      <c r="AM103" s="19">
        <f t="shared" si="260"/>
        <v>2.3110773899848254</v>
      </c>
      <c r="AN103" s="19">
        <f t="shared" si="261"/>
        <v>0.40212443095599393</v>
      </c>
      <c r="AO103" s="19">
        <f t="shared" si="262"/>
        <v>0.65492301377420592</v>
      </c>
      <c r="AP103" s="19">
        <f t="shared" si="263"/>
        <v>1.5268970229602656</v>
      </c>
      <c r="AQ103" s="19">
        <f t="shared" si="264"/>
        <v>0.20589976757152931</v>
      </c>
      <c r="AR103" s="19">
        <f t="shared" si="265"/>
        <v>0.65492301377420592</v>
      </c>
      <c r="AS103" s="118">
        <f t="shared" si="266"/>
        <v>1418.4427030316992</v>
      </c>
      <c r="AT103" s="118">
        <f t="shared" si="267"/>
        <v>2616.0680024124131</v>
      </c>
      <c r="AU103" s="14">
        <f t="shared" si="268"/>
        <v>6.9865541787503288E-2</v>
      </c>
      <c r="AV103" s="14">
        <f t="shared" si="269"/>
        <v>0.43525060488612671</v>
      </c>
      <c r="AX103" s="118">
        <v>150</v>
      </c>
      <c r="AY103" s="118">
        <v>3800</v>
      </c>
      <c r="AZ103" s="118">
        <v>2600</v>
      </c>
      <c r="BB103" s="118"/>
      <c r="BC103" s="118">
        <v>350</v>
      </c>
      <c r="BD103" s="118">
        <v>800</v>
      </c>
      <c r="BE103" s="118">
        <v>70</v>
      </c>
      <c r="BF103" s="118">
        <v>140</v>
      </c>
      <c r="BG103" s="118">
        <v>60</v>
      </c>
      <c r="BH103" s="118"/>
      <c r="BI103" s="118"/>
      <c r="BJ103" s="118">
        <v>1100</v>
      </c>
      <c r="BK103" s="118"/>
      <c r="BL103" s="117"/>
      <c r="BM103" s="117"/>
      <c r="BN103" s="117"/>
      <c r="BO103" s="117"/>
      <c r="BP103" s="117"/>
      <c r="BQ103" s="117"/>
      <c r="BR103" s="14"/>
      <c r="BS103" s="14"/>
      <c r="BT103" s="117"/>
      <c r="BU103" s="14"/>
      <c r="BV103" s="14"/>
      <c r="BW103" s="14"/>
      <c r="BX103" s="14"/>
      <c r="BY103" s="14"/>
      <c r="BZ103" s="14"/>
      <c r="CA103" s="14"/>
      <c r="CB103" s="117"/>
      <c r="CC103" s="117"/>
      <c r="CD103" s="118"/>
      <c r="CE103" s="118">
        <v>30</v>
      </c>
      <c r="CG103" s="22"/>
      <c r="CH103" s="22"/>
      <c r="CI103" s="22"/>
      <c r="CJ103" s="22"/>
      <c r="CK103" s="22"/>
      <c r="CL103" s="22"/>
      <c r="CM103" s="22"/>
      <c r="CN103" s="22"/>
      <c r="CO103" s="22"/>
      <c r="CP103" s="22"/>
      <c r="CQ103" s="22"/>
      <c r="CR103" s="22"/>
      <c r="CS103" s="22"/>
      <c r="CT103" s="22"/>
      <c r="CU103" s="22"/>
      <c r="CV103" s="117"/>
      <c r="CW103" s="22"/>
      <c r="CX103" s="20"/>
      <c r="CY103" s="22"/>
      <c r="CZ103" s="22"/>
      <c r="DA103" s="22"/>
      <c r="DB103" s="22"/>
      <c r="DC103" s="22"/>
      <c r="DD103" s="22"/>
      <c r="DE103" s="22"/>
      <c r="DF103" s="22"/>
      <c r="DG103" s="19"/>
      <c r="DH103" s="20"/>
      <c r="DI103" s="19"/>
      <c r="DJ103" s="22"/>
      <c r="DK103" s="22"/>
      <c r="DL103" s="22"/>
      <c r="DM103" s="22"/>
      <c r="DN103" s="22"/>
      <c r="DO103" s="22"/>
      <c r="DP103" s="20"/>
      <c r="DQ103" s="22"/>
      <c r="DR103" s="22"/>
      <c r="DS103" s="19"/>
      <c r="DT103" s="23">
        <f t="shared" si="247"/>
        <v>2.631578947368421E-4</v>
      </c>
      <c r="DU103" s="22"/>
      <c r="DV103" s="22"/>
      <c r="DW103" s="22"/>
      <c r="DX103" s="22"/>
      <c r="DY103" s="22"/>
      <c r="DZ103" s="19">
        <f t="shared" si="270"/>
        <v>0.42272599367393182</v>
      </c>
      <c r="EA103" s="19"/>
      <c r="EB103" s="19"/>
      <c r="EC103" s="19"/>
      <c r="EE103" s="19">
        <f t="shared" si="271"/>
        <v>40.006033074325991</v>
      </c>
      <c r="EF103" s="19">
        <f t="shared" si="271"/>
        <v>4.3455010879573717</v>
      </c>
      <c r="EG103" s="19">
        <f t="shared" si="271"/>
        <v>6.9506922741842425</v>
      </c>
      <c r="EH103" s="19">
        <f t="shared" si="271"/>
        <v>12.298928285520514</v>
      </c>
      <c r="EI103" s="19">
        <f t="shared" si="271"/>
        <v>0.18985198927969099</v>
      </c>
      <c r="EJ103" s="19">
        <f t="shared" si="271"/>
        <v>15.335821800703927</v>
      </c>
      <c r="EK103" s="19">
        <f t="shared" si="271"/>
        <v>16.063587759609408</v>
      </c>
      <c r="EL103" s="19">
        <f t="shared" si="271"/>
        <v>0.92816528092293371</v>
      </c>
      <c r="EM103" s="19">
        <f t="shared" si="271"/>
        <v>2.7950431755065619</v>
      </c>
      <c r="EN103" s="19">
        <f t="shared" si="271"/>
        <v>1.0863752719893429</v>
      </c>
      <c r="EO103" s="19">
        <f t="shared" si="272"/>
        <v>99.999999999999986</v>
      </c>
      <c r="EP103" s="19"/>
    </row>
    <row r="104" spans="1:146">
      <c r="A104" s="1" t="s">
        <v>7</v>
      </c>
      <c r="B104" s="1" t="s">
        <v>9</v>
      </c>
      <c r="C104" s="1">
        <v>2</v>
      </c>
      <c r="D104" s="1" t="s">
        <v>11</v>
      </c>
      <c r="E104" s="1" t="s">
        <v>4</v>
      </c>
      <c r="F104" s="2" t="s">
        <v>3</v>
      </c>
      <c r="G104" s="14">
        <v>35.51</v>
      </c>
      <c r="H104" s="14">
        <v>4.88</v>
      </c>
      <c r="I104" s="14">
        <v>6.83</v>
      </c>
      <c r="J104" s="14">
        <v>12.677</v>
      </c>
      <c r="K104" s="14">
        <v>0.22</v>
      </c>
      <c r="L104" s="14">
        <v>11.67</v>
      </c>
      <c r="M104" s="14">
        <v>16</v>
      </c>
      <c r="N104" s="14">
        <v>1.56</v>
      </c>
      <c r="O104" s="14">
        <v>3.3</v>
      </c>
      <c r="P104" s="14">
        <v>1.18</v>
      </c>
      <c r="Q104" s="14"/>
      <c r="R104" s="14">
        <v>1.47</v>
      </c>
      <c r="S104" s="15">
        <f t="shared" si="252"/>
        <v>93.826999999999998</v>
      </c>
      <c r="U104" s="86"/>
      <c r="V104" s="86"/>
      <c r="W104" s="84"/>
      <c r="X104" s="84"/>
      <c r="Y104" s="84"/>
      <c r="Z104" s="131"/>
      <c r="AA104" s="131"/>
      <c r="AB104" s="14"/>
      <c r="AC104" s="14"/>
      <c r="AD104" s="14"/>
      <c r="AF104" s="19">
        <f t="shared" si="253"/>
        <v>0.68207298964567697</v>
      </c>
      <c r="AG104" s="20">
        <f t="shared" si="254"/>
        <v>29255.599999999999</v>
      </c>
      <c r="AH104" s="20">
        <f t="shared" si="255"/>
        <v>27396.6</v>
      </c>
      <c r="AI104" s="20">
        <f t="shared" si="256"/>
        <v>5149.5199999999995</v>
      </c>
      <c r="AJ104" s="19">
        <f t="shared" si="257"/>
        <v>4.8599999999999994</v>
      </c>
      <c r="AK104" s="19">
        <f t="shared" si="258"/>
        <v>2.1153846153846154</v>
      </c>
      <c r="AL104" s="19">
        <f t="shared" si="259"/>
        <v>0.47272727272727277</v>
      </c>
      <c r="AM104" s="19">
        <f t="shared" si="260"/>
        <v>2.3426061493411421</v>
      </c>
      <c r="AN104" s="19">
        <f t="shared" si="261"/>
        <v>0.4831625183016105</v>
      </c>
      <c r="AO104" s="19">
        <f t="shared" si="262"/>
        <v>0.89869987189538425</v>
      </c>
      <c r="AP104" s="19">
        <f t="shared" si="263"/>
        <v>1.1127185295920548</v>
      </c>
      <c r="AQ104" s="19">
        <f t="shared" si="264"/>
        <v>0.19387991376246821</v>
      </c>
      <c r="AR104" s="19">
        <f t="shared" si="265"/>
        <v>0.89869987189538425</v>
      </c>
      <c r="AS104" s="118">
        <f t="shared" si="266"/>
        <v>808.7061895188408</v>
      </c>
      <c r="AT104" s="118">
        <f t="shared" si="267"/>
        <v>2584.5126277957547</v>
      </c>
      <c r="AU104" s="14">
        <f t="shared" si="268"/>
        <v>9.293156857223317E-2</v>
      </c>
      <c r="AV104" s="14">
        <f t="shared" si="269"/>
        <v>0.52296444125299579</v>
      </c>
      <c r="AX104" s="118">
        <v>200</v>
      </c>
      <c r="AY104" s="118">
        <v>7500</v>
      </c>
      <c r="AZ104" s="118">
        <v>2800</v>
      </c>
      <c r="BB104" s="118"/>
      <c r="BC104" s="118">
        <v>320</v>
      </c>
      <c r="BD104" s="118">
        <v>700</v>
      </c>
      <c r="BE104" s="118">
        <v>85</v>
      </c>
      <c r="BF104" s="118">
        <v>230</v>
      </c>
      <c r="BG104" s="118">
        <v>80</v>
      </c>
      <c r="BH104" s="118"/>
      <c r="BI104" s="118"/>
      <c r="BJ104" s="118">
        <v>800</v>
      </c>
      <c r="BK104" s="118"/>
      <c r="BL104" s="117"/>
      <c r="BM104" s="117"/>
      <c r="BN104" s="117">
        <v>30</v>
      </c>
      <c r="BO104" s="117"/>
      <c r="BP104" s="117"/>
      <c r="BQ104" s="117"/>
      <c r="BR104" s="14"/>
      <c r="BS104" s="14"/>
      <c r="BT104" s="117"/>
      <c r="BU104" s="14"/>
      <c r="BV104" s="14"/>
      <c r="BW104" s="14"/>
      <c r="BX104" s="14"/>
      <c r="BY104" s="14"/>
      <c r="BZ104" s="14"/>
      <c r="CA104" s="14"/>
      <c r="CB104" s="117"/>
      <c r="CC104" s="117"/>
      <c r="CD104" s="118"/>
      <c r="CE104" s="118">
        <v>25</v>
      </c>
      <c r="CG104" s="22">
        <f>BN104/0.242</f>
        <v>123.96694214876034</v>
      </c>
      <c r="CH104" s="22"/>
      <c r="CI104" s="22"/>
      <c r="CJ104" s="22"/>
      <c r="CK104" s="22"/>
      <c r="CL104" s="22"/>
      <c r="CM104" s="22"/>
      <c r="CN104" s="22"/>
      <c r="CO104" s="22"/>
      <c r="CP104" s="22"/>
      <c r="CQ104" s="22"/>
      <c r="CR104" s="22"/>
      <c r="CS104" s="22"/>
      <c r="CT104" s="22"/>
      <c r="CU104" s="22"/>
      <c r="CV104" s="117">
        <f>AZ104/BN104</f>
        <v>93.333333333333329</v>
      </c>
      <c r="CW104" s="22"/>
      <c r="CX104" s="20"/>
      <c r="CY104" s="22"/>
      <c r="CZ104" s="22"/>
      <c r="DA104" s="22"/>
      <c r="DB104" s="22"/>
      <c r="DC104" s="22"/>
      <c r="DD104" s="22"/>
      <c r="DE104" s="22"/>
      <c r="DF104" s="22"/>
      <c r="DG104" s="19"/>
      <c r="DH104" s="20">
        <f>AH104/BN104</f>
        <v>913.21999999999991</v>
      </c>
      <c r="DI104" s="19"/>
      <c r="DJ104" s="22"/>
      <c r="DK104" s="22"/>
      <c r="DL104" s="22"/>
      <c r="DM104" s="22"/>
      <c r="DN104" s="22"/>
      <c r="DO104" s="22"/>
      <c r="DP104" s="20"/>
      <c r="DQ104" s="22"/>
      <c r="DR104" s="22"/>
      <c r="DS104" s="19"/>
      <c r="DT104" s="23">
        <f t="shared" si="247"/>
        <v>1.3333333333333334E-4</v>
      </c>
      <c r="DU104" s="22"/>
      <c r="DV104" s="22"/>
      <c r="DW104" s="22"/>
      <c r="DX104" s="22"/>
      <c r="DY104" s="22"/>
      <c r="DZ104" s="19">
        <f t="shared" si="270"/>
        <v>0.22736880997296441</v>
      </c>
      <c r="EA104" s="19"/>
      <c r="EB104" s="19"/>
      <c r="EC104" s="19"/>
      <c r="EE104" s="19">
        <f t="shared" si="271"/>
        <v>37.846248947531095</v>
      </c>
      <c r="EF104" s="19">
        <f t="shared" si="271"/>
        <v>5.2010615281315618</v>
      </c>
      <c r="EG104" s="19">
        <f t="shared" si="271"/>
        <v>7.2793545567906897</v>
      </c>
      <c r="EH104" s="19">
        <f t="shared" si="271"/>
        <v>13.511036268877829</v>
      </c>
      <c r="EI104" s="19">
        <f t="shared" si="271"/>
        <v>0.23447408528461958</v>
      </c>
      <c r="EJ104" s="19">
        <f t="shared" si="271"/>
        <v>12.43778443305232</v>
      </c>
      <c r="EK104" s="19">
        <f t="shared" si="271"/>
        <v>17.052660747972332</v>
      </c>
      <c r="EL104" s="19">
        <f t="shared" si="271"/>
        <v>1.6626344229273025</v>
      </c>
      <c r="EM104" s="19">
        <f t="shared" si="271"/>
        <v>3.5171112792692933</v>
      </c>
      <c r="EN104" s="19">
        <f t="shared" si="271"/>
        <v>1.2576337301629594</v>
      </c>
      <c r="EO104" s="19">
        <f t="shared" si="272"/>
        <v>99.999999999999986</v>
      </c>
      <c r="EP104" s="19"/>
    </row>
    <row r="105" spans="1:146">
      <c r="A105" s="1" t="s">
        <v>7</v>
      </c>
      <c r="B105" s="1" t="s">
        <v>6</v>
      </c>
      <c r="C105" s="1">
        <v>2</v>
      </c>
      <c r="D105" s="1" t="s">
        <v>11</v>
      </c>
      <c r="E105" s="1" t="s">
        <v>12</v>
      </c>
      <c r="F105" s="2" t="s">
        <v>3</v>
      </c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5"/>
      <c r="U105" s="86">
        <v>0.70369999999999999</v>
      </c>
      <c r="V105" s="86"/>
      <c r="W105" s="84"/>
      <c r="X105" s="84"/>
      <c r="Y105" s="84"/>
      <c r="Z105" s="131"/>
      <c r="AA105" s="131"/>
      <c r="AB105" s="14"/>
      <c r="AC105" s="14"/>
      <c r="AD105" s="14"/>
      <c r="AF105" s="19"/>
      <c r="AG105" s="20"/>
      <c r="AH105" s="20"/>
      <c r="AI105" s="20"/>
      <c r="AJ105" s="19"/>
      <c r="AK105" s="19"/>
      <c r="AL105" s="19"/>
      <c r="AM105" s="19"/>
      <c r="AN105" s="19"/>
      <c r="AO105" s="19"/>
      <c r="AP105" s="19"/>
      <c r="AQ105" s="19"/>
      <c r="AR105" s="19"/>
      <c r="AS105" s="118"/>
      <c r="AT105" s="118"/>
      <c r="AX105" s="118">
        <v>75</v>
      </c>
      <c r="AY105" s="118">
        <v>1825</v>
      </c>
      <c r="AZ105" s="118"/>
      <c r="BB105" s="118"/>
      <c r="BC105" s="118"/>
      <c r="BE105" s="118"/>
      <c r="BF105" s="118"/>
      <c r="BG105" s="118"/>
      <c r="BH105" s="118"/>
      <c r="BI105" s="118"/>
      <c r="BJ105" s="118">
        <v>510</v>
      </c>
      <c r="BK105" s="118">
        <v>164</v>
      </c>
      <c r="BL105" s="117"/>
      <c r="BM105" s="117"/>
      <c r="BN105" s="117"/>
      <c r="BO105" s="117"/>
      <c r="BP105" s="117"/>
      <c r="BQ105" s="117"/>
      <c r="BR105" s="14"/>
      <c r="BS105" s="14"/>
      <c r="BT105" s="117"/>
      <c r="BU105" s="14"/>
      <c r="BV105" s="14"/>
      <c r="BW105" s="14"/>
      <c r="BX105" s="14"/>
      <c r="BY105" s="14"/>
      <c r="BZ105" s="14"/>
      <c r="CA105" s="14"/>
      <c r="CB105" s="117"/>
      <c r="CC105" s="117"/>
      <c r="CD105" s="118"/>
      <c r="CE105" s="118"/>
      <c r="CG105" s="22"/>
      <c r="CH105" s="22"/>
      <c r="CI105" s="22"/>
      <c r="CJ105" s="22"/>
      <c r="CK105" s="22"/>
      <c r="CL105" s="22"/>
      <c r="CM105" s="22"/>
      <c r="CN105" s="22"/>
      <c r="CO105" s="22"/>
      <c r="CP105" s="22"/>
      <c r="CQ105" s="22"/>
      <c r="CR105" s="22"/>
      <c r="CS105" s="22"/>
      <c r="CT105" s="22"/>
      <c r="CU105" s="22"/>
      <c r="CV105" s="117"/>
      <c r="CW105" s="22"/>
      <c r="CX105" s="20"/>
      <c r="CY105" s="22"/>
      <c r="CZ105" s="22"/>
      <c r="DA105" s="22"/>
      <c r="DB105" s="22">
        <f>BJ105/BK105</f>
        <v>3.1097560975609757</v>
      </c>
      <c r="DC105" s="22"/>
      <c r="DD105" s="22"/>
      <c r="DE105" s="22"/>
      <c r="DF105" s="22"/>
      <c r="DG105" s="19"/>
      <c r="DH105" s="20"/>
      <c r="DI105" s="19"/>
      <c r="DJ105" s="22"/>
      <c r="DK105" s="22"/>
      <c r="DL105" s="22"/>
      <c r="DM105" s="22"/>
      <c r="DN105" s="22"/>
      <c r="DO105" s="22"/>
      <c r="DP105" s="20"/>
      <c r="DQ105" s="22"/>
      <c r="DR105" s="22"/>
      <c r="DS105" s="19"/>
      <c r="DT105" s="23">
        <f t="shared" si="247"/>
        <v>5.4794520547945202E-4</v>
      </c>
      <c r="DU105" s="22"/>
      <c r="DV105" s="22"/>
      <c r="DW105" s="22"/>
      <c r="DX105" s="22">
        <f>BK105*100/BJ105</f>
        <v>32.156862745098039</v>
      </c>
      <c r="DY105" s="22"/>
      <c r="DZ105" s="19"/>
      <c r="EA105" s="19"/>
      <c r="EB105" s="19"/>
      <c r="EC105" s="19"/>
      <c r="EE105" s="19"/>
      <c r="EF105" s="19"/>
      <c r="EG105" s="19"/>
      <c r="EH105" s="19"/>
      <c r="EI105" s="19"/>
      <c r="EJ105" s="19"/>
      <c r="EK105" s="19"/>
      <c r="EL105" s="19"/>
      <c r="EM105" s="19"/>
      <c r="EN105" s="19"/>
      <c r="EO105" s="19"/>
      <c r="EP105" s="19"/>
    </row>
    <row r="106" spans="1:146">
      <c r="A106" s="1" t="s">
        <v>7</v>
      </c>
      <c r="B106" s="1" t="s">
        <v>6</v>
      </c>
      <c r="C106" s="1">
        <v>2</v>
      </c>
      <c r="D106" s="1" t="s">
        <v>11</v>
      </c>
      <c r="E106" s="1" t="s">
        <v>12</v>
      </c>
      <c r="F106" s="2" t="s">
        <v>3</v>
      </c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5"/>
      <c r="U106" s="86">
        <v>0.70520000000000005</v>
      </c>
      <c r="V106" s="86"/>
      <c r="W106" s="84"/>
      <c r="X106" s="84"/>
      <c r="Y106" s="84"/>
      <c r="Z106" s="131"/>
      <c r="AA106" s="131"/>
      <c r="AB106" s="14"/>
      <c r="AC106" s="14"/>
      <c r="AD106" s="14"/>
      <c r="AF106" s="19"/>
      <c r="AG106" s="20"/>
      <c r="AH106" s="20"/>
      <c r="AI106" s="20"/>
      <c r="AJ106" s="19"/>
      <c r="AK106" s="19"/>
      <c r="AL106" s="19"/>
      <c r="AM106" s="19"/>
      <c r="AN106" s="19"/>
      <c r="AO106" s="19"/>
      <c r="AP106" s="19"/>
      <c r="AQ106" s="19"/>
      <c r="AR106" s="19"/>
      <c r="AS106" s="118"/>
      <c r="AT106" s="118"/>
      <c r="AX106" s="118">
        <v>72</v>
      </c>
      <c r="AY106" s="118">
        <v>2799</v>
      </c>
      <c r="AZ106" s="118"/>
      <c r="BB106" s="118"/>
      <c r="BC106" s="118"/>
      <c r="BE106" s="118"/>
      <c r="BF106" s="118"/>
      <c r="BG106" s="118"/>
      <c r="BH106" s="118"/>
      <c r="BI106" s="118"/>
      <c r="BJ106" s="118">
        <v>816</v>
      </c>
      <c r="BK106" s="118">
        <v>214</v>
      </c>
      <c r="BL106" s="117"/>
      <c r="BM106" s="117"/>
      <c r="BN106" s="117"/>
      <c r="BO106" s="117"/>
      <c r="BP106" s="117"/>
      <c r="BQ106" s="117"/>
      <c r="BR106" s="14"/>
      <c r="BS106" s="14"/>
      <c r="BT106" s="117"/>
      <c r="BU106" s="14"/>
      <c r="BV106" s="14"/>
      <c r="BW106" s="14"/>
      <c r="BX106" s="14"/>
      <c r="BY106" s="14"/>
      <c r="BZ106" s="14"/>
      <c r="CA106" s="14"/>
      <c r="CB106" s="117"/>
      <c r="CC106" s="117"/>
      <c r="CD106" s="118"/>
      <c r="CE106" s="118"/>
      <c r="CG106" s="22"/>
      <c r="CH106" s="22"/>
      <c r="CI106" s="22"/>
      <c r="CJ106" s="22"/>
      <c r="CK106" s="22"/>
      <c r="CL106" s="22"/>
      <c r="CM106" s="22"/>
      <c r="CN106" s="22"/>
      <c r="CO106" s="22"/>
      <c r="CP106" s="22"/>
      <c r="CQ106" s="22"/>
      <c r="CR106" s="22"/>
      <c r="CS106" s="22"/>
      <c r="CT106" s="22"/>
      <c r="CU106" s="22"/>
      <c r="CV106" s="117"/>
      <c r="CW106" s="22"/>
      <c r="CX106" s="20"/>
      <c r="CY106" s="22"/>
      <c r="CZ106" s="22"/>
      <c r="DA106" s="22"/>
      <c r="DB106" s="22">
        <f>BJ106/BK106</f>
        <v>3.8130841121495327</v>
      </c>
      <c r="DC106" s="22"/>
      <c r="DD106" s="22"/>
      <c r="DE106" s="22"/>
      <c r="DF106" s="22"/>
      <c r="DG106" s="19"/>
      <c r="DH106" s="20"/>
      <c r="DI106" s="19"/>
      <c r="DJ106" s="22"/>
      <c r="DK106" s="22"/>
      <c r="DL106" s="22"/>
      <c r="DM106" s="22"/>
      <c r="DN106" s="22"/>
      <c r="DO106" s="22"/>
      <c r="DP106" s="20"/>
      <c r="DQ106" s="22"/>
      <c r="DR106" s="22"/>
      <c r="DS106" s="19"/>
      <c r="DT106" s="23">
        <f t="shared" si="247"/>
        <v>3.5727045373347622E-4</v>
      </c>
      <c r="DU106" s="22"/>
      <c r="DV106" s="22"/>
      <c r="DW106" s="22"/>
      <c r="DX106" s="22">
        <f>BK106*100/BJ106</f>
        <v>26.225490196078432</v>
      </c>
      <c r="DY106" s="22"/>
      <c r="DZ106" s="19"/>
      <c r="EA106" s="19"/>
      <c r="EB106" s="19"/>
      <c r="EC106" s="19"/>
      <c r="EE106" s="19"/>
      <c r="EF106" s="19"/>
      <c r="EG106" s="19"/>
      <c r="EH106" s="19"/>
      <c r="EI106" s="19"/>
      <c r="EJ106" s="19"/>
      <c r="EK106" s="19"/>
      <c r="EL106" s="19"/>
      <c r="EM106" s="19"/>
      <c r="EN106" s="19"/>
      <c r="EO106" s="19"/>
      <c r="EP106" s="19"/>
    </row>
    <row r="107" spans="1:146">
      <c r="A107" s="1" t="s">
        <v>7</v>
      </c>
      <c r="B107" s="1" t="s">
        <v>6</v>
      </c>
      <c r="C107" s="1">
        <v>2</v>
      </c>
      <c r="D107" s="1" t="s">
        <v>11</v>
      </c>
      <c r="E107" s="1" t="s">
        <v>4</v>
      </c>
      <c r="F107" s="2" t="s">
        <v>3</v>
      </c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5"/>
      <c r="U107" s="86">
        <v>0.70440000000000003</v>
      </c>
      <c r="V107" s="86"/>
      <c r="W107" s="84"/>
      <c r="X107" s="84"/>
      <c r="Y107" s="84"/>
      <c r="Z107" s="131"/>
      <c r="AA107" s="131"/>
      <c r="AB107" s="14"/>
      <c r="AC107" s="14"/>
      <c r="AD107" s="14"/>
      <c r="AF107" s="19"/>
      <c r="AG107" s="20"/>
      <c r="AH107" s="20"/>
      <c r="AI107" s="20"/>
      <c r="AJ107" s="19"/>
      <c r="AK107" s="19"/>
      <c r="AL107" s="19"/>
      <c r="AM107" s="19"/>
      <c r="AN107" s="19"/>
      <c r="AO107" s="19"/>
      <c r="AP107" s="19"/>
      <c r="AQ107" s="19"/>
      <c r="AR107" s="19"/>
      <c r="AS107" s="118"/>
      <c r="AT107" s="118"/>
      <c r="AX107" s="118">
        <v>83</v>
      </c>
      <c r="AY107" s="118">
        <v>2108</v>
      </c>
      <c r="AZ107" s="118"/>
      <c r="BB107" s="118"/>
      <c r="BC107" s="118"/>
      <c r="BE107" s="118"/>
      <c r="BF107" s="118"/>
      <c r="BG107" s="118"/>
      <c r="BH107" s="118"/>
      <c r="BI107" s="118"/>
      <c r="BJ107" s="118">
        <v>606</v>
      </c>
      <c r="BK107" s="118">
        <v>258</v>
      </c>
      <c r="BL107" s="117"/>
      <c r="BM107" s="117"/>
      <c r="BN107" s="117"/>
      <c r="BO107" s="117"/>
      <c r="BP107" s="117"/>
      <c r="BQ107" s="117"/>
      <c r="BR107" s="14"/>
      <c r="BS107" s="14"/>
      <c r="BT107" s="117"/>
      <c r="BU107" s="14"/>
      <c r="BV107" s="14"/>
      <c r="BW107" s="14"/>
      <c r="BX107" s="14"/>
      <c r="BY107" s="14"/>
      <c r="BZ107" s="14"/>
      <c r="CA107" s="14"/>
      <c r="CB107" s="117"/>
      <c r="CC107" s="117"/>
      <c r="CD107" s="118"/>
      <c r="CE107" s="118"/>
      <c r="CG107" s="22"/>
      <c r="CH107" s="22"/>
      <c r="CI107" s="22"/>
      <c r="CJ107" s="22"/>
      <c r="CK107" s="22"/>
      <c r="CL107" s="22"/>
      <c r="CM107" s="22"/>
      <c r="CN107" s="22"/>
      <c r="CO107" s="22"/>
      <c r="CP107" s="22"/>
      <c r="CQ107" s="22"/>
      <c r="CR107" s="22"/>
      <c r="CS107" s="22"/>
      <c r="CT107" s="22"/>
      <c r="CU107" s="22"/>
      <c r="CV107" s="117"/>
      <c r="CW107" s="22"/>
      <c r="CX107" s="20"/>
      <c r="CY107" s="22"/>
      <c r="CZ107" s="22"/>
      <c r="DA107" s="22"/>
      <c r="DB107" s="22">
        <f>BJ107/BK107</f>
        <v>2.3488372093023258</v>
      </c>
      <c r="DC107" s="22"/>
      <c r="DD107" s="22"/>
      <c r="DE107" s="22"/>
      <c r="DF107" s="22"/>
      <c r="DG107" s="19"/>
      <c r="DH107" s="20"/>
      <c r="DI107" s="19"/>
      <c r="DJ107" s="22"/>
      <c r="DK107" s="22"/>
      <c r="DL107" s="22"/>
      <c r="DM107" s="22"/>
      <c r="DN107" s="22"/>
      <c r="DO107" s="22"/>
      <c r="DP107" s="20"/>
      <c r="DQ107" s="22"/>
      <c r="DR107" s="22"/>
      <c r="DS107" s="19"/>
      <c r="DT107" s="23">
        <f t="shared" si="247"/>
        <v>4.743833017077799E-4</v>
      </c>
      <c r="DU107" s="22"/>
      <c r="DV107" s="22"/>
      <c r="DW107" s="22"/>
      <c r="DX107" s="22">
        <f>BK107*100/BJ107</f>
        <v>42.574257425742573</v>
      </c>
      <c r="DY107" s="22"/>
      <c r="DZ107" s="19"/>
      <c r="EA107" s="19"/>
      <c r="EB107" s="19"/>
      <c r="EC107" s="19"/>
      <c r="EE107" s="19"/>
      <c r="EF107" s="19"/>
      <c r="EG107" s="19"/>
      <c r="EH107" s="19"/>
      <c r="EI107" s="19"/>
      <c r="EJ107" s="19"/>
      <c r="EK107" s="19"/>
      <c r="EL107" s="19"/>
      <c r="EM107" s="19"/>
      <c r="EN107" s="19"/>
      <c r="EO107" s="19"/>
      <c r="EP107" s="19"/>
    </row>
    <row r="108" spans="1:146" s="24" customFormat="1">
      <c r="A108" s="24" t="s">
        <v>7</v>
      </c>
      <c r="B108" s="24" t="s">
        <v>6</v>
      </c>
      <c r="C108" s="24">
        <v>2</v>
      </c>
      <c r="D108" s="24" t="s">
        <v>11</v>
      </c>
      <c r="E108" s="24" t="s">
        <v>10</v>
      </c>
      <c r="F108" s="126" t="s">
        <v>3</v>
      </c>
      <c r="G108" s="26"/>
      <c r="H108" s="26"/>
      <c r="I108" s="26"/>
      <c r="J108" s="26"/>
      <c r="K108" s="26"/>
      <c r="L108" s="26"/>
      <c r="M108" s="26"/>
      <c r="N108" s="26"/>
      <c r="O108" s="26"/>
      <c r="P108" s="26"/>
      <c r="Q108" s="26"/>
      <c r="R108" s="26"/>
      <c r="S108" s="27"/>
      <c r="U108" s="100">
        <v>0.70430000000000004</v>
      </c>
      <c r="V108" s="100"/>
      <c r="W108" s="137"/>
      <c r="X108" s="137"/>
      <c r="Y108" s="137"/>
      <c r="Z108" s="138"/>
      <c r="AA108" s="138"/>
      <c r="AB108" s="26"/>
      <c r="AC108" s="26"/>
      <c r="AD108" s="26"/>
      <c r="AF108" s="31"/>
      <c r="AG108" s="32"/>
      <c r="AH108" s="32"/>
      <c r="AI108" s="32"/>
      <c r="AJ108" s="31"/>
      <c r="AK108" s="31"/>
      <c r="AL108" s="31"/>
      <c r="AM108" s="31"/>
      <c r="AN108" s="31"/>
      <c r="AO108" s="31"/>
      <c r="AP108" s="31"/>
      <c r="AQ108" s="31"/>
      <c r="AR108" s="31"/>
      <c r="AS108" s="127"/>
      <c r="AT108" s="127"/>
      <c r="AU108" s="26"/>
      <c r="AV108" s="26"/>
      <c r="AX108" s="127">
        <v>90</v>
      </c>
      <c r="AY108" s="127">
        <v>3089</v>
      </c>
      <c r="AZ108" s="127"/>
      <c r="BA108" s="128"/>
      <c r="BB108" s="127"/>
      <c r="BC108" s="127"/>
      <c r="BD108" s="127"/>
      <c r="BE108" s="127"/>
      <c r="BF108" s="127"/>
      <c r="BG108" s="127"/>
      <c r="BH108" s="127"/>
      <c r="BI108" s="127"/>
      <c r="BJ108" s="127">
        <v>758</v>
      </c>
      <c r="BK108" s="127">
        <v>234</v>
      </c>
      <c r="BL108" s="128"/>
      <c r="BM108" s="128"/>
      <c r="BN108" s="128"/>
      <c r="BO108" s="128"/>
      <c r="BP108" s="128"/>
      <c r="BQ108" s="128"/>
      <c r="BR108" s="26"/>
      <c r="BS108" s="26"/>
      <c r="BT108" s="128"/>
      <c r="BU108" s="26"/>
      <c r="BV108" s="26"/>
      <c r="BW108" s="26"/>
      <c r="BX108" s="26"/>
      <c r="BY108" s="26"/>
      <c r="BZ108" s="26"/>
      <c r="CA108" s="26"/>
      <c r="CB108" s="128"/>
      <c r="CC108" s="128"/>
      <c r="CD108" s="127"/>
      <c r="CE108" s="127"/>
      <c r="CG108" s="34"/>
      <c r="CH108" s="34"/>
      <c r="CI108" s="34"/>
      <c r="CJ108" s="34"/>
      <c r="CK108" s="34"/>
      <c r="CL108" s="34"/>
      <c r="CM108" s="34"/>
      <c r="CN108" s="34"/>
      <c r="CO108" s="34"/>
      <c r="CP108" s="34"/>
      <c r="CQ108" s="34"/>
      <c r="CR108" s="34"/>
      <c r="CS108" s="34"/>
      <c r="CT108" s="34"/>
      <c r="CU108" s="34"/>
      <c r="CV108" s="128"/>
      <c r="CW108" s="34"/>
      <c r="CX108" s="32"/>
      <c r="CY108" s="34"/>
      <c r="CZ108" s="34"/>
      <c r="DA108" s="34"/>
      <c r="DB108" s="34">
        <f>BJ108/BK108</f>
        <v>3.2393162393162394</v>
      </c>
      <c r="DC108" s="34"/>
      <c r="DD108" s="34"/>
      <c r="DE108" s="34"/>
      <c r="DF108" s="34"/>
      <c r="DG108" s="31"/>
      <c r="DH108" s="32"/>
      <c r="DI108" s="31"/>
      <c r="DJ108" s="34"/>
      <c r="DK108" s="34"/>
      <c r="DL108" s="34"/>
      <c r="DM108" s="34"/>
      <c r="DN108" s="34"/>
      <c r="DO108" s="34"/>
      <c r="DP108" s="32"/>
      <c r="DQ108" s="34"/>
      <c r="DR108" s="34"/>
      <c r="DS108" s="31"/>
      <c r="DT108" s="35">
        <f t="shared" si="247"/>
        <v>3.2372936225315638E-4</v>
      </c>
      <c r="DU108" s="34"/>
      <c r="DV108" s="34"/>
      <c r="DW108" s="34"/>
      <c r="DX108" s="34">
        <f>BK108*100/BJ108</f>
        <v>30.87071240105541</v>
      </c>
      <c r="DY108" s="34"/>
      <c r="DZ108" s="31"/>
      <c r="EA108" s="31"/>
      <c r="EB108" s="31"/>
      <c r="EC108" s="31"/>
      <c r="EE108" s="31"/>
      <c r="EF108" s="31"/>
      <c r="EG108" s="31"/>
      <c r="EH108" s="31"/>
      <c r="EI108" s="31"/>
      <c r="EJ108" s="31"/>
      <c r="EK108" s="31"/>
      <c r="EL108" s="31"/>
      <c r="EM108" s="31"/>
      <c r="EN108" s="31"/>
      <c r="EO108" s="31"/>
      <c r="EP108" s="31"/>
    </row>
    <row r="109" spans="1:146">
      <c r="A109" s="1" t="s">
        <v>7</v>
      </c>
      <c r="B109" s="1" t="s">
        <v>9</v>
      </c>
      <c r="C109" s="1">
        <v>2</v>
      </c>
      <c r="D109" s="1" t="s">
        <v>5</v>
      </c>
      <c r="E109" s="1" t="s">
        <v>4</v>
      </c>
      <c r="F109" s="2" t="s">
        <v>3</v>
      </c>
      <c r="G109" s="14">
        <v>35.369999999999997</v>
      </c>
      <c r="H109" s="14">
        <v>3.87</v>
      </c>
      <c r="I109" s="14">
        <v>6.5</v>
      </c>
      <c r="J109" s="14">
        <v>12.780000000000001</v>
      </c>
      <c r="K109" s="14">
        <v>0.24</v>
      </c>
      <c r="L109" s="14">
        <v>14.08</v>
      </c>
      <c r="M109" s="14">
        <v>16.79</v>
      </c>
      <c r="N109" s="14">
        <v>1.32</v>
      </c>
      <c r="O109" s="14">
        <v>4.09</v>
      </c>
      <c r="P109" s="14">
        <v>0.74</v>
      </c>
      <c r="Q109" s="14"/>
      <c r="R109" s="14">
        <v>0.09</v>
      </c>
      <c r="S109" s="15">
        <f>G109+H109+I109+J109+K109+L109+M109+N109+O109+P109+Q109</f>
        <v>95.779999999999987</v>
      </c>
      <c r="U109" s="86"/>
      <c r="V109" s="86"/>
      <c r="W109" s="84"/>
      <c r="X109" s="84"/>
      <c r="Y109" s="84"/>
      <c r="Z109" s="131"/>
      <c r="AA109" s="131"/>
      <c r="AB109" s="14"/>
      <c r="AC109" s="14"/>
      <c r="AD109" s="14"/>
      <c r="AF109" s="19">
        <f>(L109/40.31)/((L109/40.31)+(J109-(J109*0.15))*0.8998/71.85)</f>
        <v>0.71969649568271343</v>
      </c>
      <c r="AG109" s="20">
        <f>H109*5995</f>
        <v>23200.65</v>
      </c>
      <c r="AH109" s="20">
        <f>O109*8302</f>
        <v>33955.18</v>
      </c>
      <c r="AI109" s="20">
        <f>P109*4364</f>
        <v>3229.36</v>
      </c>
      <c r="AJ109" s="19">
        <f>N109+O109</f>
        <v>5.41</v>
      </c>
      <c r="AK109" s="19">
        <f>O109/N109</f>
        <v>3.0984848484848482</v>
      </c>
      <c r="AL109" s="19">
        <f>N109/O109</f>
        <v>0.3227383863080685</v>
      </c>
      <c r="AM109" s="19">
        <f>EK109/EG109</f>
        <v>2.5830769230769235</v>
      </c>
      <c r="AN109" s="19">
        <f>O109/I109</f>
        <v>0.62923076923076926</v>
      </c>
      <c r="AO109" s="19">
        <f>(EL109/61.98+EM109/94.2)/(EG109/101.96)</f>
        <v>1.0151365310584455</v>
      </c>
      <c r="AP109" s="19">
        <f>1/AO109</f>
        <v>0.9850891672249612</v>
      </c>
      <c r="AQ109" s="19">
        <f>(EG109/101.96)/((EK109/56.08)+(EL109/61.98)+(EM109/94.2))</f>
        <v>0.17508619606367457</v>
      </c>
      <c r="AR109" s="19">
        <f>(EL109/61.98+EM109/94.2)/(EG109/101.96)</f>
        <v>1.0151365310584455</v>
      </c>
      <c r="AS109" s="118">
        <f>1000*(4*(EE109/60.08)-11*(EL109/61.98*2+EM109/94.2*2)-2*(EH109/159.69+EF109/79.87))</f>
        <v>703.85535460534629</v>
      </c>
      <c r="AT109" s="118">
        <f>1000*(6*(EK109/56.08)+2*(EJ109/40.3)+EG109/101.96*2)</f>
        <v>2738.1735492823891</v>
      </c>
      <c r="AU109" s="14">
        <f>O109/G109</f>
        <v>0.11563471868815381</v>
      </c>
      <c r="AV109" s="14">
        <f>(O109/94.2)/(I109/101.96)</f>
        <v>0.68106549077249701</v>
      </c>
      <c r="AX109" s="118">
        <v>200</v>
      </c>
      <c r="AY109" s="118">
        <v>4500</v>
      </c>
      <c r="AZ109" s="118">
        <v>2900</v>
      </c>
      <c r="BB109" s="118"/>
      <c r="BC109" s="118">
        <v>250</v>
      </c>
      <c r="BD109" s="118">
        <v>900</v>
      </c>
      <c r="BE109" s="118">
        <v>65</v>
      </c>
      <c r="BF109" s="118">
        <v>270</v>
      </c>
      <c r="BG109" s="118">
        <v>70</v>
      </c>
      <c r="BH109" s="118"/>
      <c r="BI109" s="118"/>
      <c r="BJ109" s="118">
        <v>1200</v>
      </c>
      <c r="BK109" s="118"/>
      <c r="BL109" s="117"/>
      <c r="BM109" s="117"/>
      <c r="BN109" s="117">
        <v>40</v>
      </c>
      <c r="BO109" s="117"/>
      <c r="BP109" s="117"/>
      <c r="BQ109" s="117"/>
      <c r="BR109" s="14"/>
      <c r="BS109" s="14"/>
      <c r="BT109" s="117"/>
      <c r="BU109" s="14"/>
      <c r="BV109" s="14"/>
      <c r="BW109" s="14"/>
      <c r="BX109" s="14"/>
      <c r="BY109" s="14"/>
      <c r="BZ109" s="14"/>
      <c r="CA109" s="14"/>
      <c r="CB109" s="117"/>
      <c r="CC109" s="117"/>
      <c r="CD109" s="118"/>
      <c r="CE109" s="118">
        <v>25</v>
      </c>
      <c r="CG109" s="22">
        <f>BN109/0.242</f>
        <v>165.28925619834712</v>
      </c>
      <c r="CH109" s="22"/>
      <c r="CI109" s="22"/>
      <c r="CJ109" s="22"/>
      <c r="CK109" s="22"/>
      <c r="CL109" s="22"/>
      <c r="CM109" s="22"/>
      <c r="CN109" s="22"/>
      <c r="CO109" s="22"/>
      <c r="CP109" s="22"/>
      <c r="CQ109" s="22"/>
      <c r="CR109" s="22"/>
      <c r="CS109" s="22"/>
      <c r="CT109" s="22"/>
      <c r="CU109" s="22"/>
      <c r="CV109" s="117">
        <f>AZ109/BN109</f>
        <v>72.5</v>
      </c>
      <c r="CW109" s="22"/>
      <c r="CX109" s="20"/>
      <c r="CY109" s="22"/>
      <c r="CZ109" s="22"/>
      <c r="DA109" s="22"/>
      <c r="DB109" s="22"/>
      <c r="DC109" s="22"/>
      <c r="DD109" s="22"/>
      <c r="DE109" s="22"/>
      <c r="DF109" s="22"/>
      <c r="DG109" s="19"/>
      <c r="DH109" s="20">
        <f>AH109/BN109</f>
        <v>848.87950000000001</v>
      </c>
      <c r="DI109" s="19"/>
      <c r="DJ109" s="22"/>
      <c r="DK109" s="22"/>
      <c r="DL109" s="22"/>
      <c r="DM109" s="22"/>
      <c r="DN109" s="22"/>
      <c r="DO109" s="22"/>
      <c r="DP109" s="20"/>
      <c r="DQ109" s="22"/>
      <c r="DR109" s="22"/>
      <c r="DS109" s="19"/>
      <c r="DT109" s="23">
        <f t="shared" si="247"/>
        <v>2.2222222222222223E-4</v>
      </c>
      <c r="DU109" s="22"/>
      <c r="DV109" s="22"/>
      <c r="DW109" s="22"/>
      <c r="DX109" s="22"/>
      <c r="DY109" s="22"/>
      <c r="DZ109" s="19">
        <f>EK109*100/AY109</f>
        <v>0.38955012644718229</v>
      </c>
      <c r="EA109" s="19"/>
      <c r="EB109" s="19"/>
      <c r="EC109" s="19"/>
      <c r="EE109" s="19">
        <f t="shared" ref="EE109:EN109" si="273">100*G109/($G109+$H109+$I109+$J109+$K109+$L109+$M109+$N109+$O109+$P109)</f>
        <v>36.928377531843807</v>
      </c>
      <c r="EF109" s="19">
        <f t="shared" si="273"/>
        <v>4.0405095009396543</v>
      </c>
      <c r="EG109" s="19">
        <f t="shared" si="273"/>
        <v>6.7863854666945089</v>
      </c>
      <c r="EH109" s="19">
        <f t="shared" si="273"/>
        <v>13.343077886823973</v>
      </c>
      <c r="EI109" s="19">
        <f t="shared" si="273"/>
        <v>0.25057423261641265</v>
      </c>
      <c r="EJ109" s="19">
        <f t="shared" si="273"/>
        <v>14.700354980162876</v>
      </c>
      <c r="EK109" s="19">
        <f t="shared" si="273"/>
        <v>17.529755690123203</v>
      </c>
      <c r="EL109" s="19">
        <f t="shared" si="273"/>
        <v>1.3781582793902696</v>
      </c>
      <c r="EM109" s="19">
        <f t="shared" si="273"/>
        <v>4.2702025475046987</v>
      </c>
      <c r="EN109" s="19">
        <f t="shared" si="273"/>
        <v>0.77260388390060564</v>
      </c>
      <c r="EO109" s="19">
        <f>SUM(EE109:EN109)</f>
        <v>99.999999999999986</v>
      </c>
      <c r="EP109" s="19"/>
    </row>
    <row r="110" spans="1:146">
      <c r="A110" s="1" t="s">
        <v>7</v>
      </c>
      <c r="B110" s="1" t="s">
        <v>6</v>
      </c>
      <c r="C110" s="1">
        <v>2</v>
      </c>
      <c r="D110" s="1" t="s">
        <v>5</v>
      </c>
      <c r="E110" s="1" t="s">
        <v>4</v>
      </c>
      <c r="F110" s="2" t="s">
        <v>3</v>
      </c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5"/>
      <c r="U110" s="86">
        <v>0.70509999999999995</v>
      </c>
      <c r="V110" s="86"/>
      <c r="W110" s="84"/>
      <c r="X110" s="84"/>
      <c r="Y110" s="84"/>
      <c r="Z110" s="131"/>
      <c r="AA110" s="131"/>
      <c r="AB110" s="14"/>
      <c r="AC110" s="14"/>
      <c r="AD110" s="14"/>
      <c r="AF110" s="19"/>
      <c r="AG110" s="20"/>
      <c r="AH110" s="20"/>
      <c r="AI110" s="20"/>
      <c r="AJ110" s="19"/>
      <c r="AK110" s="19"/>
      <c r="AL110" s="19"/>
      <c r="AM110" s="19"/>
      <c r="AN110" s="19"/>
      <c r="AO110" s="19"/>
      <c r="AP110" s="19"/>
      <c r="AQ110" s="19"/>
      <c r="AR110" s="19"/>
      <c r="AS110" s="118"/>
      <c r="AT110" s="118"/>
      <c r="AX110" s="118">
        <v>118</v>
      </c>
      <c r="AY110" s="118">
        <v>2560</v>
      </c>
      <c r="AZ110" s="118"/>
      <c r="BB110" s="118"/>
      <c r="BC110" s="118"/>
      <c r="BE110" s="118"/>
      <c r="BF110" s="118"/>
      <c r="BG110" s="118"/>
      <c r="BH110" s="118"/>
      <c r="BI110" s="118"/>
      <c r="BJ110" s="118">
        <v>580</v>
      </c>
      <c r="BK110" s="118">
        <v>223</v>
      </c>
      <c r="BL110" s="117"/>
      <c r="BM110" s="117"/>
      <c r="BN110" s="117"/>
      <c r="BO110" s="117"/>
      <c r="BP110" s="117"/>
      <c r="BQ110" s="117"/>
      <c r="BR110" s="14"/>
      <c r="BS110" s="14"/>
      <c r="BT110" s="117"/>
      <c r="BU110" s="14"/>
      <c r="BV110" s="14"/>
      <c r="BW110" s="14"/>
      <c r="BX110" s="14"/>
      <c r="BY110" s="14"/>
      <c r="BZ110" s="14"/>
      <c r="CA110" s="14"/>
      <c r="CB110" s="117"/>
      <c r="CC110" s="117"/>
      <c r="CD110" s="118"/>
      <c r="CE110" s="118"/>
      <c r="CG110" s="22"/>
      <c r="CH110" s="22"/>
      <c r="CI110" s="22"/>
      <c r="CJ110" s="22"/>
      <c r="CK110" s="22"/>
      <c r="CL110" s="22"/>
      <c r="CM110" s="22"/>
      <c r="CN110" s="22"/>
      <c r="CO110" s="22"/>
      <c r="CP110" s="22"/>
      <c r="CQ110" s="22"/>
      <c r="CR110" s="22"/>
      <c r="CS110" s="22"/>
      <c r="CT110" s="22"/>
      <c r="CU110" s="22"/>
      <c r="CV110" s="117"/>
      <c r="CW110" s="22"/>
      <c r="CX110" s="20"/>
      <c r="CY110" s="22"/>
      <c r="CZ110" s="22"/>
      <c r="DA110" s="22"/>
      <c r="DB110" s="22">
        <f t="shared" ref="DB110:DB120" si="274">BJ110/BK110</f>
        <v>2.600896860986547</v>
      </c>
      <c r="DC110" s="22"/>
      <c r="DD110" s="22"/>
      <c r="DE110" s="22"/>
      <c r="DF110" s="22"/>
      <c r="DG110" s="19"/>
      <c r="DH110" s="20"/>
      <c r="DI110" s="19"/>
      <c r="DJ110" s="22"/>
      <c r="DK110" s="22"/>
      <c r="DL110" s="22"/>
      <c r="DM110" s="22"/>
      <c r="DN110" s="22"/>
      <c r="DO110" s="22"/>
      <c r="DP110" s="20"/>
      <c r="DQ110" s="22"/>
      <c r="DR110" s="22"/>
      <c r="DS110" s="19"/>
      <c r="DT110" s="23">
        <f t="shared" si="247"/>
        <v>3.9062500000000002E-4</v>
      </c>
      <c r="DU110" s="22"/>
      <c r="DV110" s="22"/>
      <c r="DW110" s="22"/>
      <c r="DX110" s="22">
        <f t="shared" ref="DX110:DX120" si="275">BK110*100/BJ110</f>
        <v>38.448275862068968</v>
      </c>
      <c r="DY110" s="22"/>
      <c r="DZ110" s="19"/>
      <c r="EA110" s="19"/>
      <c r="EB110" s="19"/>
      <c r="EC110" s="19"/>
      <c r="EE110" s="19"/>
      <c r="EF110" s="19"/>
      <c r="EG110" s="19"/>
      <c r="EH110" s="19"/>
      <c r="EI110" s="19"/>
      <c r="EJ110" s="19"/>
      <c r="EK110" s="19"/>
      <c r="EL110" s="19"/>
      <c r="EM110" s="19"/>
      <c r="EN110" s="19"/>
      <c r="EO110" s="19"/>
      <c r="EP110" s="19"/>
    </row>
    <row r="111" spans="1:146">
      <c r="A111" s="1" t="s">
        <v>7</v>
      </c>
      <c r="B111" s="1" t="s">
        <v>8</v>
      </c>
      <c r="C111" s="1">
        <v>2</v>
      </c>
      <c r="D111" s="1" t="s">
        <v>5</v>
      </c>
      <c r="E111" s="1" t="s">
        <v>4</v>
      </c>
      <c r="F111" s="2" t="s">
        <v>3</v>
      </c>
      <c r="G111" s="14"/>
      <c r="H111" s="14"/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15"/>
      <c r="U111" s="86">
        <v>0.70520000000000005</v>
      </c>
      <c r="V111" s="86"/>
      <c r="W111" s="84"/>
      <c r="X111" s="84"/>
      <c r="Y111" s="84"/>
      <c r="Z111" s="131"/>
      <c r="AA111" s="131"/>
      <c r="AB111" s="14"/>
      <c r="AC111" s="14"/>
      <c r="AD111" s="14"/>
      <c r="AF111" s="19"/>
      <c r="AG111" s="20"/>
      <c r="AH111" s="20"/>
      <c r="AI111" s="20"/>
      <c r="AJ111" s="19"/>
      <c r="AK111" s="19"/>
      <c r="AL111" s="19"/>
      <c r="AM111" s="19"/>
      <c r="AN111" s="19"/>
      <c r="AO111" s="19"/>
      <c r="AP111" s="19"/>
      <c r="AQ111" s="19"/>
      <c r="AR111" s="19"/>
      <c r="AS111" s="118"/>
      <c r="AT111" s="118"/>
      <c r="AX111" s="118">
        <v>111</v>
      </c>
      <c r="AY111" s="118">
        <v>2995</v>
      </c>
      <c r="AZ111" s="118"/>
      <c r="BB111" s="118">
        <v>26</v>
      </c>
      <c r="BC111" s="118"/>
      <c r="BE111" s="118">
        <v>50</v>
      </c>
      <c r="BF111" s="118"/>
      <c r="BG111" s="118"/>
      <c r="BH111" s="118"/>
      <c r="BI111" s="118"/>
      <c r="BJ111" s="118">
        <v>655</v>
      </c>
      <c r="BK111" s="118">
        <v>295</v>
      </c>
      <c r="BL111" s="117">
        <v>9.6</v>
      </c>
      <c r="BM111" s="117">
        <v>14.5</v>
      </c>
      <c r="BN111" s="117">
        <v>236</v>
      </c>
      <c r="BO111" s="117">
        <v>486</v>
      </c>
      <c r="BP111" s="117"/>
      <c r="BQ111" s="117"/>
      <c r="BR111" s="14">
        <v>23.1</v>
      </c>
      <c r="BS111" s="14">
        <v>5.68</v>
      </c>
      <c r="BT111" s="117">
        <v>2.08</v>
      </c>
      <c r="BU111" s="14"/>
      <c r="BV111" s="14"/>
      <c r="BW111" s="14"/>
      <c r="BX111" s="14"/>
      <c r="BY111" s="14"/>
      <c r="BZ111" s="14">
        <v>0.74</v>
      </c>
      <c r="CA111" s="14">
        <v>0.09</v>
      </c>
      <c r="CB111" s="117"/>
      <c r="CC111" s="117">
        <v>27</v>
      </c>
      <c r="CD111" s="118"/>
      <c r="CE111" s="118"/>
      <c r="CG111" s="22">
        <f>BN111/0.242</f>
        <v>975.20661157024801</v>
      </c>
      <c r="CH111" s="22">
        <f>BO111/0.635</f>
        <v>765.35433070866145</v>
      </c>
      <c r="CI111" s="22"/>
      <c r="CJ111" s="22"/>
      <c r="CK111" s="22">
        <f>BR111/0.156</f>
        <v>148.07692307692309</v>
      </c>
      <c r="CL111" s="22">
        <f>BS111/0.0591</f>
        <v>96.108291032148898</v>
      </c>
      <c r="CM111" s="22">
        <f>BT111/0.212</f>
        <v>9.8113207547169825</v>
      </c>
      <c r="CN111" s="22"/>
      <c r="CO111" s="22"/>
      <c r="CP111" s="22"/>
      <c r="CQ111" s="22"/>
      <c r="CR111" s="22"/>
      <c r="CS111" s="22">
        <f>BZ111/0.166</f>
        <v>4.4578313253012043</v>
      </c>
      <c r="CT111" s="22">
        <f>CA111/0.025</f>
        <v>3.5999999999999996</v>
      </c>
      <c r="CU111" s="22"/>
      <c r="CV111" s="117"/>
      <c r="CW111" s="22">
        <f>BN111/BK111</f>
        <v>0.8</v>
      </c>
      <c r="CX111" s="20"/>
      <c r="CY111" s="22"/>
      <c r="CZ111" s="22"/>
      <c r="DA111" s="22">
        <f>AX111/BR111</f>
        <v>4.8051948051948052</v>
      </c>
      <c r="DB111" s="22">
        <f t="shared" si="274"/>
        <v>2.2203389830508473</v>
      </c>
      <c r="DC111" s="22"/>
      <c r="DD111" s="22">
        <f>CC111/BM111</f>
        <v>1.8620689655172413</v>
      </c>
      <c r="DE111" s="22">
        <f>BM111/BZ111</f>
        <v>19.594594594594597</v>
      </c>
      <c r="DF111" s="22">
        <f>CC111/BZ111</f>
        <v>36.486486486486484</v>
      </c>
      <c r="DG111" s="19"/>
      <c r="DH111" s="20"/>
      <c r="DI111" s="19"/>
      <c r="DJ111" s="22">
        <f>BN111/CA111</f>
        <v>2622.2222222222222</v>
      </c>
      <c r="DK111" s="22">
        <f>CG111/CT111</f>
        <v>270.89072543618005</v>
      </c>
      <c r="DL111" s="22">
        <f>CG111/CK111</f>
        <v>6.5858108833315443</v>
      </c>
      <c r="DM111" s="22">
        <f>BN111/BZ111</f>
        <v>318.91891891891891</v>
      </c>
      <c r="DN111" s="22">
        <f>BR111/BZ111</f>
        <v>31.216216216216218</v>
      </c>
      <c r="DO111" s="22"/>
      <c r="DP111" s="20">
        <f>AY111/BZ111</f>
        <v>4047.2972972972975</v>
      </c>
      <c r="DQ111" s="22"/>
      <c r="DR111" s="22">
        <f>AY111/(((BR111/0.195)*(BT111/0.259))^0.5)</f>
        <v>97.101593499938375</v>
      </c>
      <c r="DS111" s="19">
        <f>(BS111/0.074)/(((BR111/0.195)*(BT111/0.259))^0.5)</f>
        <v>2.488548712176375</v>
      </c>
      <c r="DT111" s="23">
        <f t="shared" si="247"/>
        <v>3.33889816360601E-4</v>
      </c>
      <c r="DU111" s="22"/>
      <c r="DV111" s="22">
        <f>BK111/BM111</f>
        <v>20.344827586206897</v>
      </c>
      <c r="DW111" s="22"/>
      <c r="DX111" s="22">
        <f t="shared" si="275"/>
        <v>45.038167938931295</v>
      </c>
      <c r="DY111" s="22">
        <f>CC111*100/BJ111</f>
        <v>4.1221374045801529</v>
      </c>
      <c r="DZ111" s="19"/>
      <c r="EA111" s="19"/>
      <c r="EB111" s="19">
        <f>CC111/BK111</f>
        <v>9.152542372881356E-2</v>
      </c>
      <c r="EC111" s="19"/>
      <c r="EE111" s="19"/>
      <c r="EF111" s="19"/>
      <c r="EG111" s="19"/>
      <c r="EH111" s="19"/>
      <c r="EI111" s="19"/>
      <c r="EJ111" s="19"/>
      <c r="EK111" s="19"/>
      <c r="EL111" s="19"/>
      <c r="EM111" s="19"/>
      <c r="EN111" s="19"/>
      <c r="EO111" s="19"/>
      <c r="EP111" s="19"/>
    </row>
    <row r="112" spans="1:146" s="24" customFormat="1">
      <c r="A112" s="24" t="s">
        <v>7</v>
      </c>
      <c r="B112" s="24" t="s">
        <v>6</v>
      </c>
      <c r="C112" s="24">
        <v>2</v>
      </c>
      <c r="D112" s="24" t="s">
        <v>5</v>
      </c>
      <c r="E112" s="24" t="s">
        <v>4</v>
      </c>
      <c r="F112" s="126" t="s">
        <v>3</v>
      </c>
      <c r="G112" s="26"/>
      <c r="H112" s="26"/>
      <c r="I112" s="26"/>
      <c r="J112" s="26"/>
      <c r="K112" s="26"/>
      <c r="L112" s="26"/>
      <c r="M112" s="26"/>
      <c r="N112" s="26"/>
      <c r="O112" s="26"/>
      <c r="P112" s="26"/>
      <c r="Q112" s="26"/>
      <c r="R112" s="26"/>
      <c r="S112" s="27"/>
      <c r="U112" s="100">
        <v>0.70399999999999996</v>
      </c>
      <c r="V112" s="100"/>
      <c r="W112" s="137"/>
      <c r="X112" s="137"/>
      <c r="Y112" s="137"/>
      <c r="Z112" s="138"/>
      <c r="AA112" s="138"/>
      <c r="AB112" s="26"/>
      <c r="AC112" s="26"/>
      <c r="AD112" s="26"/>
      <c r="AF112" s="31"/>
      <c r="AG112" s="32"/>
      <c r="AH112" s="32"/>
      <c r="AI112" s="32"/>
      <c r="AJ112" s="31"/>
      <c r="AK112" s="31"/>
      <c r="AL112" s="31"/>
      <c r="AM112" s="31"/>
      <c r="AN112" s="31"/>
      <c r="AO112" s="31"/>
      <c r="AP112" s="31"/>
      <c r="AQ112" s="31"/>
      <c r="AR112" s="31"/>
      <c r="AS112" s="127"/>
      <c r="AT112" s="127"/>
      <c r="AU112" s="26"/>
      <c r="AV112" s="26"/>
      <c r="AX112" s="127">
        <v>108</v>
      </c>
      <c r="AY112" s="127">
        <v>2470</v>
      </c>
      <c r="AZ112" s="127"/>
      <c r="BA112" s="128"/>
      <c r="BB112" s="127"/>
      <c r="BC112" s="127"/>
      <c r="BD112" s="127"/>
      <c r="BE112" s="127"/>
      <c r="BF112" s="127"/>
      <c r="BG112" s="127"/>
      <c r="BH112" s="127"/>
      <c r="BI112" s="127"/>
      <c r="BJ112" s="127">
        <v>540</v>
      </c>
      <c r="BK112" s="127">
        <v>183</v>
      </c>
      <c r="BL112" s="128"/>
      <c r="BM112" s="128"/>
      <c r="BN112" s="128"/>
      <c r="BO112" s="128"/>
      <c r="BP112" s="128"/>
      <c r="BQ112" s="128"/>
      <c r="BR112" s="26"/>
      <c r="BS112" s="26"/>
      <c r="BT112" s="128"/>
      <c r="BU112" s="26"/>
      <c r="BV112" s="26"/>
      <c r="BW112" s="26"/>
      <c r="BX112" s="26"/>
      <c r="BY112" s="26"/>
      <c r="BZ112" s="26"/>
      <c r="CA112" s="26"/>
      <c r="CB112" s="128"/>
      <c r="CC112" s="128"/>
      <c r="CD112" s="127"/>
      <c r="CE112" s="127"/>
      <c r="CG112" s="34"/>
      <c r="CH112" s="34"/>
      <c r="CI112" s="34"/>
      <c r="CJ112" s="34"/>
      <c r="CK112" s="34"/>
      <c r="CL112" s="34"/>
      <c r="CM112" s="34"/>
      <c r="CN112" s="34"/>
      <c r="CO112" s="34"/>
      <c r="CP112" s="34"/>
      <c r="CQ112" s="34"/>
      <c r="CR112" s="34"/>
      <c r="CS112" s="34"/>
      <c r="CT112" s="34"/>
      <c r="CU112" s="34"/>
      <c r="CV112" s="128"/>
      <c r="CW112" s="34"/>
      <c r="CX112" s="32"/>
      <c r="CY112" s="34"/>
      <c r="CZ112" s="34"/>
      <c r="DA112" s="34"/>
      <c r="DB112" s="34">
        <f t="shared" si="274"/>
        <v>2.9508196721311477</v>
      </c>
      <c r="DC112" s="34"/>
      <c r="DD112" s="34"/>
      <c r="DE112" s="34"/>
      <c r="DF112" s="34"/>
      <c r="DG112" s="31"/>
      <c r="DH112" s="32"/>
      <c r="DI112" s="31"/>
      <c r="DJ112" s="34"/>
      <c r="DK112" s="34"/>
      <c r="DL112" s="34"/>
      <c r="DM112" s="34"/>
      <c r="DN112" s="34"/>
      <c r="DO112" s="34"/>
      <c r="DP112" s="32"/>
      <c r="DQ112" s="34"/>
      <c r="DR112" s="34"/>
      <c r="DS112" s="31"/>
      <c r="DT112" s="35">
        <f t="shared" si="247"/>
        <v>4.0485829959514168E-4</v>
      </c>
      <c r="DU112" s="34"/>
      <c r="DV112" s="34"/>
      <c r="DW112" s="34"/>
      <c r="DX112" s="34">
        <f t="shared" si="275"/>
        <v>33.888888888888886</v>
      </c>
      <c r="DY112" s="34"/>
      <c r="DZ112" s="31"/>
      <c r="EA112" s="31"/>
      <c r="EB112" s="31"/>
      <c r="EC112" s="31"/>
      <c r="EE112" s="31"/>
      <c r="EF112" s="31"/>
      <c r="EG112" s="31"/>
      <c r="EH112" s="31"/>
      <c r="EI112" s="31"/>
      <c r="EJ112" s="31"/>
      <c r="EK112" s="31"/>
      <c r="EL112" s="31"/>
      <c r="EM112" s="31"/>
      <c r="EN112" s="31"/>
      <c r="EO112" s="31"/>
      <c r="EP112" s="31"/>
    </row>
    <row r="113" spans="1:145" s="48" customFormat="1">
      <c r="A113" s="139">
        <v>47</v>
      </c>
      <c r="B113" s="48" t="s">
        <v>265</v>
      </c>
      <c r="C113" s="48">
        <v>7</v>
      </c>
      <c r="D113" s="140" t="s">
        <v>2</v>
      </c>
      <c r="E113" s="48" t="s">
        <v>0</v>
      </c>
      <c r="G113" s="141">
        <v>39.880000000000003</v>
      </c>
      <c r="H113" s="141">
        <v>4.492</v>
      </c>
      <c r="I113" s="141">
        <v>7.86</v>
      </c>
      <c r="J113" s="141">
        <v>12.17</v>
      </c>
      <c r="K113" s="141">
        <v>0.20799999999999999</v>
      </c>
      <c r="L113" s="141">
        <v>9.4</v>
      </c>
      <c r="M113" s="141">
        <v>14.15</v>
      </c>
      <c r="N113" s="141">
        <v>1.5</v>
      </c>
      <c r="O113" s="141">
        <v>3.99</v>
      </c>
      <c r="P113" s="141">
        <v>1.21</v>
      </c>
      <c r="Q113" s="141">
        <v>4.83</v>
      </c>
      <c r="R113" s="141">
        <v>0.27</v>
      </c>
      <c r="S113" s="52">
        <f t="shared" ref="S113:S120" si="276">G113+H113+I113+J113+K113+L113+M113+N113+O113+P113+Q113</f>
        <v>99.69</v>
      </c>
      <c r="U113" s="54"/>
      <c r="AF113" s="19">
        <f t="shared" ref="AF113:AF120" si="277">(L113/40.31)/((L113/40.31)+(J113-(J113*0.15))*0.8998/71.85)</f>
        <v>0.64286445413992277</v>
      </c>
      <c r="AG113" s="59">
        <f t="shared" ref="AG113:AG120" si="278">H113*5995</f>
        <v>26929.54</v>
      </c>
      <c r="AH113" s="59">
        <f t="shared" ref="AH113:AH120" si="279">O113*8302</f>
        <v>33124.980000000003</v>
      </c>
      <c r="AI113" s="59">
        <f t="shared" ref="AI113:AI120" si="280">P113*4364</f>
        <v>5280.44</v>
      </c>
      <c r="AJ113" s="51">
        <f t="shared" ref="AJ113:AJ120" si="281">N113+O113</f>
        <v>5.49</v>
      </c>
      <c r="AK113" s="51">
        <f t="shared" ref="AK113:AK120" si="282">O113/N113</f>
        <v>2.66</v>
      </c>
      <c r="AL113" s="51">
        <f t="shared" ref="AL113:AL120" si="283">N113/O113</f>
        <v>0.37593984962406013</v>
      </c>
      <c r="AM113" s="51">
        <f t="shared" ref="AM113:AM120" si="284">EK113/EG113</f>
        <v>1.8002544529262088</v>
      </c>
      <c r="AN113" s="58">
        <f t="shared" ref="AN113:AN120" si="285">O113/I113</f>
        <v>0.50763358778625955</v>
      </c>
      <c r="AO113" s="58">
        <f t="shared" ref="AO113:AO120" si="286">(EL113/61.98+EM113/94.2)/(EG113/101.96)</f>
        <v>0.86339161348848248</v>
      </c>
      <c r="AP113" s="58">
        <f t="shared" ref="AP113:AP120" si="287">1/AO113</f>
        <v>1.1582229713345946</v>
      </c>
      <c r="AQ113" s="58">
        <f t="shared" ref="AQ113:AQ120" si="288">(EG113/101.96)/((EK113/56.08)+(EL113/61.98)+(EM113/94.2))</f>
        <v>0.24175232947797121</v>
      </c>
      <c r="AR113" s="51">
        <f t="shared" ref="AR113:AR120" si="289">(EL113/61.98+EM113/94.2)/(EG113/101.96)</f>
        <v>0.86339161348848248</v>
      </c>
      <c r="AS113" s="59">
        <f t="shared" ref="AS113:AS120" si="290">1000*(4*(EE113/60.08)-11*(EL113/61.98*2+EM113/94.2*2)-2*(EH113/159.69+EF113/79.87))</f>
        <v>976.11896404288234</v>
      </c>
      <c r="AT113" s="59">
        <f t="shared" ref="AT113:AT120" si="291">1000*(6*(EK113/56.08)+2*(EJ113/40.3)+EG113/101.96*2)</f>
        <v>2250.2509504655914</v>
      </c>
      <c r="AU113" s="51">
        <f t="shared" ref="AU113:AU120" si="292">O113/G113</f>
        <v>0.10005015045135406</v>
      </c>
      <c r="AV113" s="51">
        <f t="shared" ref="AV113:AV120" si="293">(O113/94.2)/(I113/101.96)</f>
        <v>0.54945138652533987</v>
      </c>
      <c r="AX113" s="142">
        <v>90</v>
      </c>
      <c r="AY113" s="142">
        <v>2699</v>
      </c>
      <c r="AZ113" s="142">
        <v>2201</v>
      </c>
      <c r="BA113" s="142"/>
      <c r="BB113" s="142">
        <v>26</v>
      </c>
      <c r="BC113" s="142">
        <v>151</v>
      </c>
      <c r="BD113" s="142">
        <v>230</v>
      </c>
      <c r="BE113" s="142">
        <v>50</v>
      </c>
      <c r="BF113" s="142">
        <v>40</v>
      </c>
      <c r="BG113" s="142">
        <v>170</v>
      </c>
      <c r="BH113" s="142">
        <v>120</v>
      </c>
      <c r="BI113" s="142">
        <v>17</v>
      </c>
      <c r="BJ113" s="142">
        <v>435</v>
      </c>
      <c r="BK113" s="142">
        <v>286</v>
      </c>
      <c r="BL113" s="142">
        <v>9.8000000000000007</v>
      </c>
      <c r="BM113" s="142">
        <v>19</v>
      </c>
      <c r="BN113" s="142">
        <v>262</v>
      </c>
      <c r="BO113" s="142">
        <v>503</v>
      </c>
      <c r="BP113" s="142">
        <v>55.6</v>
      </c>
      <c r="BQ113" s="142">
        <v>192</v>
      </c>
      <c r="BR113" s="142">
        <v>24.3</v>
      </c>
      <c r="BS113" s="142">
        <v>5.77</v>
      </c>
      <c r="BT113" s="142">
        <v>11.4</v>
      </c>
      <c r="BU113" s="142">
        <v>1.2</v>
      </c>
      <c r="BV113" s="142">
        <v>5.0999999999999996</v>
      </c>
      <c r="BW113" s="142">
        <v>0.7</v>
      </c>
      <c r="BX113" s="142">
        <v>1.7</v>
      </c>
      <c r="BY113" s="142">
        <v>0.2</v>
      </c>
      <c r="BZ113" s="142">
        <v>1.1000000000000001</v>
      </c>
      <c r="CA113" s="142">
        <v>0.18</v>
      </c>
      <c r="CB113" s="142">
        <v>9</v>
      </c>
      <c r="CC113" s="142">
        <v>33.799999999999997</v>
      </c>
      <c r="CD113" s="142">
        <v>7.5</v>
      </c>
      <c r="CE113" s="142">
        <v>17</v>
      </c>
      <c r="CG113" s="61">
        <f t="shared" ref="CG113:CG120" si="294">BN113/0.242</f>
        <v>1082.6446280991736</v>
      </c>
      <c r="CH113" s="61">
        <f t="shared" ref="CH113:CH120" si="295">BO113/0.635</f>
        <v>792.12598425196848</v>
      </c>
      <c r="CI113" s="61">
        <f t="shared" ref="CI113:CI120" si="296">BP113/0.0963</f>
        <v>577.36240913811014</v>
      </c>
      <c r="CJ113" s="61">
        <f t="shared" ref="CJ113:CJ120" si="297">BQ113/0.48</f>
        <v>400</v>
      </c>
      <c r="CK113" s="61">
        <f t="shared" ref="CK113:CK120" si="298">BR113/0.156</f>
        <v>155.76923076923077</v>
      </c>
      <c r="CL113" s="61">
        <f t="shared" ref="CL113:CL120" si="299">BS113/0.0591</f>
        <v>97.631133671742802</v>
      </c>
      <c r="CM113" s="61">
        <f t="shared" ref="CM113:CM120" si="300">BT113/0.212</f>
        <v>53.773584905660378</v>
      </c>
      <c r="CN113" s="61">
        <f t="shared" ref="CN113:CN120" si="301">BU113/0.0376</f>
        <v>31.914893617021274</v>
      </c>
      <c r="CO113" s="61">
        <f t="shared" ref="CO113:CO120" si="302">BV113/0.259</f>
        <v>19.691119691119688</v>
      </c>
      <c r="CP113" s="61">
        <f t="shared" ref="CP113:CP120" si="303">BW113/0.0585</f>
        <v>11.965811965811964</v>
      </c>
      <c r="CQ113" s="61">
        <f t="shared" ref="CQ113:CQ120" si="304">BX113/0.163</f>
        <v>10.429447852760736</v>
      </c>
      <c r="CR113" s="61">
        <f t="shared" ref="CR113:CR120" si="305">BY113/0.0256</f>
        <v>7.8125</v>
      </c>
      <c r="CS113" s="61">
        <f t="shared" ref="CS113:CS120" si="306">BZ113/0.166</f>
        <v>6.6265060240963853</v>
      </c>
      <c r="CT113" s="61">
        <f t="shared" ref="CT113:CT120" si="307">CA113/0.025</f>
        <v>7.1999999999999993</v>
      </c>
      <c r="CU113" s="60">
        <f t="shared" ref="CU113:CU120" si="308">AZ113/BK113</f>
        <v>7.6958041958041958</v>
      </c>
      <c r="CV113" s="60">
        <f t="shared" ref="CV113:CV120" si="309">AZ113/BN113</f>
        <v>8.4007633587786259</v>
      </c>
      <c r="CW113" s="60">
        <f t="shared" ref="CW113:CW120" si="310">BN113/BK113</f>
        <v>0.91608391608391604</v>
      </c>
      <c r="CX113" s="59">
        <f t="shared" ref="CX113:CX120" si="311">AG113/BK113</f>
        <v>94.159230769230774</v>
      </c>
      <c r="CY113" s="60">
        <f>BO113/CB113</f>
        <v>55.888888888888886</v>
      </c>
      <c r="CZ113" s="60">
        <f t="shared" ref="CZ113:CZ120" si="312">BK113/CD113</f>
        <v>38.133333333333333</v>
      </c>
      <c r="DA113" s="60">
        <f t="shared" ref="DA113:DA120" si="313">AX113/BR113</f>
        <v>3.7037037037037037</v>
      </c>
      <c r="DB113" s="60">
        <f t="shared" si="274"/>
        <v>1.520979020979021</v>
      </c>
      <c r="DC113" s="61">
        <f t="shared" ref="DC113:DC120" si="314">AZ113/CC113</f>
        <v>65.118343195266277</v>
      </c>
      <c r="DD113" s="60">
        <f t="shared" ref="DD113:DD120" si="315">CC113/BM113</f>
        <v>1.7789473684210524</v>
      </c>
      <c r="DE113" s="60">
        <f t="shared" ref="DE113:DE120" si="316">BM113/BZ113</f>
        <v>17.27272727272727</v>
      </c>
      <c r="DF113" s="60">
        <f t="shared" ref="DF113:DF120" si="317">CC113/BZ113</f>
        <v>30.727272727272723</v>
      </c>
      <c r="DG113" s="51">
        <f t="shared" ref="DG113:DG120" si="318">BK113/BI113</f>
        <v>16.823529411764707</v>
      </c>
      <c r="DH113" s="59">
        <f t="shared" ref="DH113:DH120" si="319">AH113/BN113</f>
        <v>126.43122137404582</v>
      </c>
      <c r="DI113" s="51">
        <f t="shared" ref="DI113:DI120" si="320">(BK113/0.46)/((O113/0.023)*(CD113/0.017))^0.5</f>
        <v>2.247395467258821</v>
      </c>
      <c r="DJ113" s="60">
        <f t="shared" ref="DJ113:DJ120" si="321">BN113/CA113</f>
        <v>1455.5555555555557</v>
      </c>
      <c r="DK113" s="60">
        <f t="shared" ref="DK113:DK120" si="322">CG113/CT113</f>
        <v>150.36730945821856</v>
      </c>
      <c r="DL113" s="61">
        <f t="shared" ref="DL113:DL120" si="323">CG113/CK113</f>
        <v>6.9503111927354349</v>
      </c>
      <c r="DM113" s="60">
        <f t="shared" ref="DM113:DM120" si="324">BN113/BZ113</f>
        <v>238.18181818181816</v>
      </c>
      <c r="DN113" s="61">
        <f t="shared" ref="DN113:DN120" si="325">BR113/BZ113</f>
        <v>22.09090909090909</v>
      </c>
      <c r="DO113" s="61">
        <f t="shared" ref="DO113:DO120" si="326">BL113/BQ113</f>
        <v>5.1041666666666673E-2</v>
      </c>
      <c r="DP113" s="59">
        <f t="shared" ref="DP113:DP120" si="327">AY113/BZ113</f>
        <v>2453.6363636363635</v>
      </c>
      <c r="DQ113" s="60">
        <f t="shared" ref="DQ113:DQ120" si="328">AY113/BQ113</f>
        <v>14.057291666666666</v>
      </c>
      <c r="DR113" s="60">
        <f t="shared" ref="DR113:DR120" si="329">AY113/(((BR113/0.195)*(BT113/0.259))^0.5)</f>
        <v>36.443032622982969</v>
      </c>
      <c r="DS113" s="51">
        <f t="shared" ref="DS113:DS120" si="330">(BS113/0.074)/(((BR113/0.195)*(BT113/0.259))^0.5)</f>
        <v>1.0528238598610682</v>
      </c>
      <c r="DT113" s="62">
        <f t="shared" si="247"/>
        <v>3.7050759540570581E-4</v>
      </c>
      <c r="DU113" s="60">
        <f t="shared" ref="DU113:DU120" si="331">BJ113/BI113</f>
        <v>25.588235294117649</v>
      </c>
      <c r="DV113" s="60">
        <f t="shared" ref="DV113:DV120" si="332">BK113/BM113</f>
        <v>15.052631578947368</v>
      </c>
      <c r="DW113" s="60">
        <f t="shared" ref="DW113:DW120" si="333">1.74+LOG(BK113/BI113)-1.92*LOG(BJ113/BI113)</f>
        <v>0.26247966744415141</v>
      </c>
      <c r="DX113" s="60">
        <f t="shared" si="275"/>
        <v>65.747126436781613</v>
      </c>
      <c r="DY113" s="60">
        <f t="shared" ref="DY113:DY120" si="334">CC113*100/BJ113</f>
        <v>7.7701149425287346</v>
      </c>
      <c r="DZ113" s="51">
        <f t="shared" ref="DZ113:DZ120" si="335">EK113*100/AY113</f>
        <v>0.55267578273147133</v>
      </c>
      <c r="EA113" s="51"/>
      <c r="EB113" s="58">
        <f t="shared" ref="EB113:EB120" si="336">CC113/BK113</f>
        <v>0.11818181818181817</v>
      </c>
      <c r="EC113" s="58">
        <f t="shared" ref="EC113:EC120" si="337">(CB113/0.144)/(CH113*CI113)^(1/2)</f>
        <v>9.2418440376721839E-2</v>
      </c>
      <c r="EE113" s="51">
        <f t="shared" ref="EE113:EN120" si="338">100*G113/($G113+$H113+$I113+$J113+$K113+$L113+$M113+$N113+$O113+$P113)</f>
        <v>42.040902382458363</v>
      </c>
      <c r="EF113" s="51">
        <f t="shared" si="338"/>
        <v>4.7353995361585497</v>
      </c>
      <c r="EG113" s="51">
        <f t="shared" si="338"/>
        <v>8.2858950031625547</v>
      </c>
      <c r="EH113" s="51">
        <f t="shared" si="338"/>
        <v>12.82943284840818</v>
      </c>
      <c r="EI113" s="51">
        <f t="shared" si="338"/>
        <v>0.21927050390048494</v>
      </c>
      <c r="EJ113" s="51">
        <f t="shared" si="338"/>
        <v>9.9093400801180689</v>
      </c>
      <c r="EK113" s="51">
        <f t="shared" si="338"/>
        <v>14.916719375922412</v>
      </c>
      <c r="EL113" s="51">
        <f t="shared" si="338"/>
        <v>1.5812776723592663</v>
      </c>
      <c r="EM113" s="51">
        <f t="shared" si="338"/>
        <v>4.2061986084756482</v>
      </c>
      <c r="EN113" s="51">
        <f t="shared" si="338"/>
        <v>1.2755639890364747</v>
      </c>
      <c r="EO113" s="51">
        <f t="shared" ref="EO113:EO120" si="339">SUM(EE113:EN113)</f>
        <v>99.999999999999986</v>
      </c>
    </row>
    <row r="114" spans="1:145" s="48" customFormat="1">
      <c r="A114" s="139">
        <v>49</v>
      </c>
      <c r="B114" s="48" t="s">
        <v>265</v>
      </c>
      <c r="C114" s="48">
        <v>7</v>
      </c>
      <c r="D114" s="140" t="s">
        <v>2</v>
      </c>
      <c r="E114" s="48" t="s">
        <v>0</v>
      </c>
      <c r="G114" s="141">
        <v>37.06</v>
      </c>
      <c r="H114" s="141">
        <v>5.3029999999999999</v>
      </c>
      <c r="I114" s="141">
        <v>6.7</v>
      </c>
      <c r="J114" s="141">
        <v>12.23</v>
      </c>
      <c r="K114" s="141">
        <v>0.189</v>
      </c>
      <c r="L114" s="141">
        <v>11.68</v>
      </c>
      <c r="M114" s="141">
        <v>13.2</v>
      </c>
      <c r="N114" s="141">
        <v>0.78</v>
      </c>
      <c r="O114" s="141">
        <v>7.05</v>
      </c>
      <c r="P114" s="141">
        <v>1.1499999999999999</v>
      </c>
      <c r="Q114" s="141">
        <v>2.4300000000000002</v>
      </c>
      <c r="R114" s="141">
        <v>0.52</v>
      </c>
      <c r="S114" s="52">
        <f t="shared" si="276"/>
        <v>97.77200000000002</v>
      </c>
      <c r="U114" s="54"/>
      <c r="AF114" s="19">
        <f t="shared" si="277"/>
        <v>0.68998918833301115</v>
      </c>
      <c r="AG114" s="59">
        <f t="shared" si="278"/>
        <v>31791.485000000001</v>
      </c>
      <c r="AH114" s="59">
        <f t="shared" si="279"/>
        <v>58529.1</v>
      </c>
      <c r="AI114" s="59">
        <f t="shared" si="280"/>
        <v>5018.5999999999995</v>
      </c>
      <c r="AJ114" s="51">
        <f t="shared" si="281"/>
        <v>7.83</v>
      </c>
      <c r="AK114" s="51">
        <f t="shared" si="282"/>
        <v>9.0384615384615383</v>
      </c>
      <c r="AL114" s="51">
        <f t="shared" si="283"/>
        <v>0.11063829787234043</v>
      </c>
      <c r="AM114" s="51">
        <f t="shared" si="284"/>
        <v>1.9701492537313432</v>
      </c>
      <c r="AN114" s="58">
        <f t="shared" si="285"/>
        <v>1.0522388059701493</v>
      </c>
      <c r="AO114" s="58">
        <f t="shared" si="286"/>
        <v>1.3304329592319324</v>
      </c>
      <c r="AP114" s="58">
        <f t="shared" si="287"/>
        <v>0.75163501705287461</v>
      </c>
      <c r="AQ114" s="58">
        <f t="shared" si="288"/>
        <v>0.20356670186501027</v>
      </c>
      <c r="AR114" s="51">
        <f t="shared" si="289"/>
        <v>1.3304329592319324</v>
      </c>
      <c r="AS114" s="59">
        <f t="shared" si="290"/>
        <v>270.66136216844939</v>
      </c>
      <c r="AT114" s="59">
        <f t="shared" si="291"/>
        <v>2227.0823788457142</v>
      </c>
      <c r="AU114" s="51">
        <f t="shared" si="292"/>
        <v>0.19023205612520236</v>
      </c>
      <c r="AV114" s="51">
        <f t="shared" si="293"/>
        <v>1.1389200494343568</v>
      </c>
      <c r="AX114" s="142">
        <v>166</v>
      </c>
      <c r="AY114" s="142">
        <v>2543</v>
      </c>
      <c r="AZ114" s="142">
        <v>2789</v>
      </c>
      <c r="BA114" s="142">
        <v>0.6</v>
      </c>
      <c r="BB114" s="142">
        <v>25</v>
      </c>
      <c r="BC114" s="142">
        <v>220</v>
      </c>
      <c r="BD114" s="142">
        <v>610</v>
      </c>
      <c r="BE114" s="142">
        <v>56</v>
      </c>
      <c r="BF114" s="142">
        <v>120</v>
      </c>
      <c r="BG114" s="142">
        <v>150</v>
      </c>
      <c r="BH114" s="142">
        <v>100</v>
      </c>
      <c r="BI114" s="142">
        <v>15</v>
      </c>
      <c r="BJ114" s="142">
        <v>436</v>
      </c>
      <c r="BK114" s="142">
        <v>251</v>
      </c>
      <c r="BL114" s="142">
        <v>9.6</v>
      </c>
      <c r="BM114" s="142">
        <v>16.7</v>
      </c>
      <c r="BN114" s="142">
        <v>229</v>
      </c>
      <c r="BO114" s="142">
        <v>444</v>
      </c>
      <c r="BP114" s="142">
        <v>48.8</v>
      </c>
      <c r="BQ114" s="142">
        <v>172</v>
      </c>
      <c r="BR114" s="142">
        <v>22.5</v>
      </c>
      <c r="BS114" s="142">
        <v>5.24</v>
      </c>
      <c r="BT114" s="142">
        <v>10.4</v>
      </c>
      <c r="BU114" s="142">
        <v>1.1000000000000001</v>
      </c>
      <c r="BV114" s="142">
        <v>4.5</v>
      </c>
      <c r="BW114" s="142">
        <v>0.6</v>
      </c>
      <c r="BX114" s="142">
        <v>1.3</v>
      </c>
      <c r="BY114" s="142">
        <v>0.16</v>
      </c>
      <c r="BZ114" s="142">
        <v>0.9</v>
      </c>
      <c r="CA114" s="142">
        <v>0.14000000000000001</v>
      </c>
      <c r="CB114" s="142">
        <v>9</v>
      </c>
      <c r="CC114" s="142">
        <v>27</v>
      </c>
      <c r="CD114" s="142">
        <v>6.5</v>
      </c>
      <c r="CE114" s="142">
        <v>16</v>
      </c>
      <c r="CG114" s="61">
        <f t="shared" si="294"/>
        <v>946.28099173553721</v>
      </c>
      <c r="CH114" s="61">
        <f t="shared" si="295"/>
        <v>699.2125984251968</v>
      </c>
      <c r="CI114" s="61">
        <f t="shared" si="296"/>
        <v>506.74974039460022</v>
      </c>
      <c r="CJ114" s="61">
        <f t="shared" si="297"/>
        <v>358.33333333333337</v>
      </c>
      <c r="CK114" s="61">
        <f t="shared" si="298"/>
        <v>144.23076923076923</v>
      </c>
      <c r="CL114" s="61">
        <f t="shared" si="299"/>
        <v>88.663282571912021</v>
      </c>
      <c r="CM114" s="61">
        <f t="shared" si="300"/>
        <v>49.056603773584911</v>
      </c>
      <c r="CN114" s="61">
        <f t="shared" si="301"/>
        <v>29.25531914893617</v>
      </c>
      <c r="CO114" s="61">
        <f t="shared" si="302"/>
        <v>17.374517374517374</v>
      </c>
      <c r="CP114" s="61">
        <f t="shared" si="303"/>
        <v>10.256410256410255</v>
      </c>
      <c r="CQ114" s="61">
        <f t="shared" si="304"/>
        <v>7.9754601226993866</v>
      </c>
      <c r="CR114" s="61">
        <f t="shared" si="305"/>
        <v>6.25</v>
      </c>
      <c r="CS114" s="61">
        <f t="shared" si="306"/>
        <v>5.4216867469879517</v>
      </c>
      <c r="CT114" s="61">
        <f t="shared" si="307"/>
        <v>5.6000000000000005</v>
      </c>
      <c r="CU114" s="60">
        <f t="shared" si="308"/>
        <v>11.111553784860558</v>
      </c>
      <c r="CV114" s="60">
        <f t="shared" si="309"/>
        <v>12.179039301310043</v>
      </c>
      <c r="CW114" s="60">
        <f t="shared" si="310"/>
        <v>0.91235059760956172</v>
      </c>
      <c r="CX114" s="59">
        <f t="shared" si="311"/>
        <v>126.65930278884463</v>
      </c>
      <c r="CY114" s="60">
        <f>BO114/CB114</f>
        <v>49.333333333333336</v>
      </c>
      <c r="CZ114" s="60">
        <f t="shared" si="312"/>
        <v>38.615384615384613</v>
      </c>
      <c r="DA114" s="60">
        <f t="shared" si="313"/>
        <v>7.3777777777777782</v>
      </c>
      <c r="DB114" s="60">
        <f t="shared" si="274"/>
        <v>1.7370517928286853</v>
      </c>
      <c r="DC114" s="61">
        <f t="shared" si="314"/>
        <v>103.29629629629629</v>
      </c>
      <c r="DD114" s="60">
        <f t="shared" si="315"/>
        <v>1.6167664670658684</v>
      </c>
      <c r="DE114" s="60">
        <f t="shared" si="316"/>
        <v>18.555555555555554</v>
      </c>
      <c r="DF114" s="60">
        <f t="shared" si="317"/>
        <v>30</v>
      </c>
      <c r="DG114" s="51">
        <f t="shared" si="318"/>
        <v>16.733333333333334</v>
      </c>
      <c r="DH114" s="59">
        <f t="shared" si="319"/>
        <v>255.58558951965065</v>
      </c>
      <c r="DI114" s="51">
        <f t="shared" si="320"/>
        <v>1.593870496603198</v>
      </c>
      <c r="DJ114" s="60">
        <f t="shared" si="321"/>
        <v>1635.7142857142856</v>
      </c>
      <c r="DK114" s="60">
        <f t="shared" si="322"/>
        <v>168.97874852420307</v>
      </c>
      <c r="DL114" s="61">
        <f t="shared" si="323"/>
        <v>6.5608815426997245</v>
      </c>
      <c r="DM114" s="60">
        <f t="shared" si="324"/>
        <v>254.44444444444443</v>
      </c>
      <c r="DN114" s="61">
        <f t="shared" si="325"/>
        <v>25</v>
      </c>
      <c r="DO114" s="58">
        <f t="shared" si="326"/>
        <v>5.5813953488372092E-2</v>
      </c>
      <c r="DP114" s="59">
        <f t="shared" si="327"/>
        <v>2825.5555555555557</v>
      </c>
      <c r="DQ114" s="60">
        <f t="shared" si="328"/>
        <v>14.784883720930232</v>
      </c>
      <c r="DR114" s="60">
        <f t="shared" si="329"/>
        <v>37.359892610034812</v>
      </c>
      <c r="DS114" s="51">
        <f t="shared" si="330"/>
        <v>1.0403005456238239</v>
      </c>
      <c r="DT114" s="62">
        <f t="shared" si="247"/>
        <v>3.9323633503735744E-4</v>
      </c>
      <c r="DU114" s="60">
        <f t="shared" si="331"/>
        <v>29.066666666666666</v>
      </c>
      <c r="DV114" s="60">
        <f t="shared" si="332"/>
        <v>15.02994011976048</v>
      </c>
      <c r="DW114" s="60">
        <f t="shared" si="333"/>
        <v>0.15386362041657975</v>
      </c>
      <c r="DX114" s="60">
        <f t="shared" si="275"/>
        <v>57.568807339449542</v>
      </c>
      <c r="DY114" s="60">
        <f t="shared" si="334"/>
        <v>6.192660550458716</v>
      </c>
      <c r="DZ114" s="51">
        <f t="shared" si="335"/>
        <v>0.54443158550199466</v>
      </c>
      <c r="EA114" s="63">
        <f t="shared" ref="EA114:EA120" si="340">BA114/BN114</f>
        <v>2.6200873362445414E-3</v>
      </c>
      <c r="EB114" s="58">
        <f t="shared" si="336"/>
        <v>0.10756972111553785</v>
      </c>
      <c r="EC114" s="58">
        <f t="shared" si="337"/>
        <v>0.10499741994939221</v>
      </c>
      <c r="EE114" s="51">
        <f t="shared" si="338"/>
        <v>38.870592183927329</v>
      </c>
      <c r="EF114" s="51">
        <f t="shared" si="338"/>
        <v>5.5620817687902484</v>
      </c>
      <c r="EG114" s="51">
        <f t="shared" si="338"/>
        <v>7.0273331795011629</v>
      </c>
      <c r="EH114" s="51">
        <f t="shared" si="338"/>
        <v>12.827505191835705</v>
      </c>
      <c r="EI114" s="51">
        <f t="shared" si="338"/>
        <v>0.19823372700383876</v>
      </c>
      <c r="EJ114" s="51">
        <f t="shared" si="338"/>
        <v>12.25063455769755</v>
      </c>
      <c r="EK114" s="51">
        <f t="shared" si="338"/>
        <v>13.844895219315724</v>
      </c>
      <c r="EL114" s="51">
        <f t="shared" si="338"/>
        <v>0.81810744477774733</v>
      </c>
      <c r="EM114" s="51">
        <f t="shared" si="338"/>
        <v>7.3944326739527169</v>
      </c>
      <c r="EN114" s="51">
        <f t="shared" si="338"/>
        <v>1.2061840531979606</v>
      </c>
      <c r="EO114" s="51">
        <f t="shared" si="339"/>
        <v>100</v>
      </c>
    </row>
    <row r="115" spans="1:145" s="48" customFormat="1">
      <c r="A115" s="139">
        <v>51</v>
      </c>
      <c r="B115" s="48" t="s">
        <v>265</v>
      </c>
      <c r="C115" s="48">
        <v>7</v>
      </c>
      <c r="D115" s="140" t="s">
        <v>2</v>
      </c>
      <c r="E115" s="48" t="s">
        <v>0</v>
      </c>
      <c r="G115" s="141">
        <v>36.35</v>
      </c>
      <c r="H115" s="141">
        <v>4.3940000000000001</v>
      </c>
      <c r="I115" s="141">
        <v>7.71</v>
      </c>
      <c r="J115" s="141">
        <v>11.68</v>
      </c>
      <c r="K115" s="141">
        <v>0.19400000000000001</v>
      </c>
      <c r="L115" s="141">
        <v>10.57</v>
      </c>
      <c r="M115" s="141">
        <v>14.26</v>
      </c>
      <c r="N115" s="141">
        <v>1.43</v>
      </c>
      <c r="O115" s="141">
        <v>6.02</v>
      </c>
      <c r="P115" s="141">
        <v>1.57</v>
      </c>
      <c r="Q115" s="141">
        <v>4.7699999999999996</v>
      </c>
      <c r="R115" s="141">
        <v>1.67</v>
      </c>
      <c r="S115" s="52">
        <f t="shared" si="276"/>
        <v>98.947999999999993</v>
      </c>
      <c r="U115" s="54"/>
      <c r="AF115" s="19">
        <f t="shared" si="277"/>
        <v>0.67835549160467778</v>
      </c>
      <c r="AG115" s="59">
        <f t="shared" si="278"/>
        <v>26342.030000000002</v>
      </c>
      <c r="AH115" s="59">
        <f t="shared" si="279"/>
        <v>49978.039999999994</v>
      </c>
      <c r="AI115" s="59">
        <f t="shared" si="280"/>
        <v>6851.4800000000005</v>
      </c>
      <c r="AJ115" s="51">
        <f t="shared" si="281"/>
        <v>7.4499999999999993</v>
      </c>
      <c r="AK115" s="51">
        <f t="shared" si="282"/>
        <v>4.20979020979021</v>
      </c>
      <c r="AL115" s="51">
        <f t="shared" si="283"/>
        <v>0.23754152823920266</v>
      </c>
      <c r="AM115" s="51">
        <f t="shared" si="284"/>
        <v>1.8495460440985736</v>
      </c>
      <c r="AN115" s="58">
        <f t="shared" si="285"/>
        <v>0.7808041504539559</v>
      </c>
      <c r="AO115" s="58">
        <f t="shared" si="286"/>
        <v>1.1502376112827752</v>
      </c>
      <c r="AP115" s="58">
        <f t="shared" si="287"/>
        <v>0.86938558623967588</v>
      </c>
      <c r="AQ115" s="58">
        <f t="shared" si="288"/>
        <v>0.22158559835388525</v>
      </c>
      <c r="AR115" s="51">
        <f t="shared" si="289"/>
        <v>1.1502376112827752</v>
      </c>
      <c r="AS115" s="59">
        <f t="shared" si="290"/>
        <v>265.73766068880565</v>
      </c>
      <c r="AT115" s="59">
        <f t="shared" si="291"/>
        <v>2337.5726167302996</v>
      </c>
      <c r="AU115" s="51">
        <f t="shared" si="292"/>
        <v>0.16561210453920219</v>
      </c>
      <c r="AV115" s="51">
        <f t="shared" si="293"/>
        <v>0.84512517176523705</v>
      </c>
      <c r="AX115" s="142">
        <v>125</v>
      </c>
      <c r="AY115" s="142">
        <v>3307</v>
      </c>
      <c r="AZ115" s="142">
        <v>2331</v>
      </c>
      <c r="BA115" s="142"/>
      <c r="BB115" s="142">
        <v>23</v>
      </c>
      <c r="BC115" s="142">
        <v>220</v>
      </c>
      <c r="BD115" s="142">
        <v>210</v>
      </c>
      <c r="BE115" s="142">
        <v>47</v>
      </c>
      <c r="BF115" s="142">
        <v>50</v>
      </c>
      <c r="BG115" s="142">
        <v>140</v>
      </c>
      <c r="BH115" s="142">
        <v>100</v>
      </c>
      <c r="BI115" s="142">
        <v>16</v>
      </c>
      <c r="BJ115" s="142">
        <v>376</v>
      </c>
      <c r="BK115" s="142">
        <v>280</v>
      </c>
      <c r="BL115" s="142">
        <v>8.9</v>
      </c>
      <c r="BM115" s="142">
        <v>18.100000000000001</v>
      </c>
      <c r="BN115" s="142">
        <v>234</v>
      </c>
      <c r="BO115" s="142">
        <v>455</v>
      </c>
      <c r="BP115" s="142">
        <v>51</v>
      </c>
      <c r="BQ115" s="142">
        <v>177</v>
      </c>
      <c r="BR115" s="142">
        <v>22.7</v>
      </c>
      <c r="BS115" s="142">
        <v>5.31</v>
      </c>
      <c r="BT115" s="142">
        <v>10.7</v>
      </c>
      <c r="BU115" s="142">
        <v>1.1000000000000001</v>
      </c>
      <c r="BV115" s="142">
        <v>4.8</v>
      </c>
      <c r="BW115" s="142">
        <v>0.7</v>
      </c>
      <c r="BX115" s="142">
        <v>1.5</v>
      </c>
      <c r="BY115" s="142">
        <v>0.19</v>
      </c>
      <c r="BZ115" s="142">
        <v>1.1000000000000001</v>
      </c>
      <c r="CA115" s="142">
        <v>0.17</v>
      </c>
      <c r="CB115" s="142"/>
      <c r="CC115" s="142">
        <v>31</v>
      </c>
      <c r="CD115" s="142">
        <v>7.5</v>
      </c>
      <c r="CE115" s="142">
        <v>17</v>
      </c>
      <c r="CG115" s="61">
        <f t="shared" si="294"/>
        <v>966.94214876033061</v>
      </c>
      <c r="CH115" s="61">
        <f t="shared" si="295"/>
        <v>716.53543307086613</v>
      </c>
      <c r="CI115" s="61">
        <f t="shared" si="296"/>
        <v>529.59501557632404</v>
      </c>
      <c r="CJ115" s="61">
        <f t="shared" si="297"/>
        <v>368.75</v>
      </c>
      <c r="CK115" s="61">
        <f t="shared" si="298"/>
        <v>145.5128205128205</v>
      </c>
      <c r="CL115" s="61">
        <f t="shared" si="299"/>
        <v>89.847715736040598</v>
      </c>
      <c r="CM115" s="61">
        <f t="shared" si="300"/>
        <v>50.471698113207545</v>
      </c>
      <c r="CN115" s="61">
        <f t="shared" si="301"/>
        <v>29.25531914893617</v>
      </c>
      <c r="CO115" s="61">
        <f t="shared" si="302"/>
        <v>18.532818532818531</v>
      </c>
      <c r="CP115" s="61">
        <f t="shared" si="303"/>
        <v>11.965811965811964</v>
      </c>
      <c r="CQ115" s="61">
        <f t="shared" si="304"/>
        <v>9.2024539877300615</v>
      </c>
      <c r="CR115" s="61">
        <f t="shared" si="305"/>
        <v>7.421875</v>
      </c>
      <c r="CS115" s="61">
        <f t="shared" si="306"/>
        <v>6.6265060240963853</v>
      </c>
      <c r="CT115" s="61">
        <f t="shared" si="307"/>
        <v>6.8</v>
      </c>
      <c r="CU115" s="60">
        <f t="shared" si="308"/>
        <v>8.3249999999999993</v>
      </c>
      <c r="CV115" s="60">
        <f t="shared" si="309"/>
        <v>9.9615384615384617</v>
      </c>
      <c r="CW115" s="60">
        <f t="shared" si="310"/>
        <v>0.83571428571428574</v>
      </c>
      <c r="CX115" s="59">
        <f t="shared" si="311"/>
        <v>94.078678571428583</v>
      </c>
      <c r="CY115" s="60"/>
      <c r="CZ115" s="60">
        <f t="shared" si="312"/>
        <v>37.333333333333336</v>
      </c>
      <c r="DA115" s="60">
        <f t="shared" si="313"/>
        <v>5.5066079295154191</v>
      </c>
      <c r="DB115" s="60">
        <f t="shared" si="274"/>
        <v>1.3428571428571427</v>
      </c>
      <c r="DC115" s="61">
        <f t="shared" si="314"/>
        <v>75.193548387096769</v>
      </c>
      <c r="DD115" s="60">
        <f t="shared" si="315"/>
        <v>1.7127071823204418</v>
      </c>
      <c r="DE115" s="60">
        <f t="shared" si="316"/>
        <v>16.454545454545453</v>
      </c>
      <c r="DF115" s="60">
        <f t="shared" si="317"/>
        <v>28.18181818181818</v>
      </c>
      <c r="DG115" s="51">
        <f t="shared" si="318"/>
        <v>17.5</v>
      </c>
      <c r="DH115" s="59">
        <f t="shared" si="319"/>
        <v>213.5813675213675</v>
      </c>
      <c r="DI115" s="51">
        <f t="shared" si="320"/>
        <v>1.7912644260458941</v>
      </c>
      <c r="DJ115" s="60">
        <f t="shared" si="321"/>
        <v>1376.4705882352939</v>
      </c>
      <c r="DK115" s="60">
        <f t="shared" si="322"/>
        <v>142.19737481769567</v>
      </c>
      <c r="DL115" s="61">
        <f t="shared" si="323"/>
        <v>6.6450649870754006</v>
      </c>
      <c r="DM115" s="60">
        <f t="shared" si="324"/>
        <v>212.72727272727272</v>
      </c>
      <c r="DN115" s="61">
        <f t="shared" si="325"/>
        <v>20.636363636363633</v>
      </c>
      <c r="DO115" s="61">
        <f t="shared" si="326"/>
        <v>5.0282485875706218E-2</v>
      </c>
      <c r="DP115" s="59">
        <f t="shared" si="327"/>
        <v>3006.363636363636</v>
      </c>
      <c r="DQ115" s="60">
        <f t="shared" si="328"/>
        <v>18.683615819209038</v>
      </c>
      <c r="DR115" s="60">
        <f t="shared" si="329"/>
        <v>47.686622658644232</v>
      </c>
      <c r="DS115" s="51">
        <f t="shared" si="330"/>
        <v>1.0347255466185603</v>
      </c>
      <c r="DT115" s="62">
        <f t="shared" si="247"/>
        <v>3.0238887208950711E-4</v>
      </c>
      <c r="DU115" s="60">
        <f t="shared" si="331"/>
        <v>23.5</v>
      </c>
      <c r="DV115" s="60">
        <f t="shared" si="332"/>
        <v>15.469613259668508</v>
      </c>
      <c r="DW115" s="60">
        <f t="shared" si="333"/>
        <v>0.35058775312456092</v>
      </c>
      <c r="DX115" s="60">
        <f t="shared" si="275"/>
        <v>74.468085106382972</v>
      </c>
      <c r="DY115" s="60">
        <f t="shared" si="334"/>
        <v>8.2446808510638299</v>
      </c>
      <c r="DZ115" s="51">
        <f t="shared" si="335"/>
        <v>0.45786333496107073</v>
      </c>
      <c r="EA115" s="63">
        <f t="shared" si="340"/>
        <v>0</v>
      </c>
      <c r="EB115" s="58">
        <f t="shared" si="336"/>
        <v>0.11071428571428571</v>
      </c>
      <c r="EC115" s="58">
        <f t="shared" si="337"/>
        <v>0</v>
      </c>
      <c r="EE115" s="51">
        <f t="shared" si="338"/>
        <v>38.59712459385419</v>
      </c>
      <c r="EF115" s="51">
        <f t="shared" si="338"/>
        <v>4.6656331627343972</v>
      </c>
      <c r="EG115" s="51">
        <f t="shared" si="338"/>
        <v>8.1866253265093754</v>
      </c>
      <c r="EH115" s="51">
        <f t="shared" si="338"/>
        <v>12.402047187241182</v>
      </c>
      <c r="EI115" s="51">
        <f t="shared" si="338"/>
        <v>0.20599290704835527</v>
      </c>
      <c r="EJ115" s="51">
        <f t="shared" si="338"/>
        <v>11.223427976809871</v>
      </c>
      <c r="EK115" s="51">
        <f t="shared" si="338"/>
        <v>15.141540487162608</v>
      </c>
      <c r="EL115" s="51">
        <f t="shared" si="338"/>
        <v>1.5184013251502475</v>
      </c>
      <c r="EM115" s="51">
        <f t="shared" si="338"/>
        <v>6.3921510331499931</v>
      </c>
      <c r="EN115" s="51">
        <f t="shared" si="338"/>
        <v>1.6670560003397821</v>
      </c>
      <c r="EO115" s="51">
        <f t="shared" si="339"/>
        <v>100</v>
      </c>
    </row>
    <row r="116" spans="1:145" s="48" customFormat="1">
      <c r="A116" s="139">
        <v>53</v>
      </c>
      <c r="B116" s="48" t="s">
        <v>265</v>
      </c>
      <c r="C116" s="48">
        <v>7</v>
      </c>
      <c r="D116" s="140" t="s">
        <v>2</v>
      </c>
      <c r="E116" s="48" t="s">
        <v>0</v>
      </c>
      <c r="G116" s="141">
        <v>40.03</v>
      </c>
      <c r="H116" s="141">
        <v>5.3179999999999996</v>
      </c>
      <c r="I116" s="141">
        <v>7.3</v>
      </c>
      <c r="J116" s="141">
        <v>12.02</v>
      </c>
      <c r="K116" s="141">
        <v>0.17499999999999999</v>
      </c>
      <c r="L116" s="141">
        <v>12.94</v>
      </c>
      <c r="M116" s="141">
        <v>11.31</v>
      </c>
      <c r="N116" s="141">
        <v>1.04</v>
      </c>
      <c r="O116" s="141">
        <v>6.13</v>
      </c>
      <c r="P116" s="141">
        <v>0.43</v>
      </c>
      <c r="Q116" s="141">
        <v>2.4</v>
      </c>
      <c r="R116" s="141"/>
      <c r="S116" s="52">
        <f t="shared" si="276"/>
        <v>99.093000000000004</v>
      </c>
      <c r="U116" s="54"/>
      <c r="AF116" s="19">
        <f t="shared" si="277"/>
        <v>0.71500829866607329</v>
      </c>
      <c r="AG116" s="59">
        <f t="shared" si="278"/>
        <v>31881.409999999996</v>
      </c>
      <c r="AH116" s="59">
        <f t="shared" si="279"/>
        <v>50891.26</v>
      </c>
      <c r="AI116" s="59">
        <f t="shared" si="280"/>
        <v>1876.52</v>
      </c>
      <c r="AJ116" s="51">
        <f t="shared" si="281"/>
        <v>7.17</v>
      </c>
      <c r="AK116" s="51">
        <f t="shared" si="282"/>
        <v>5.8942307692307692</v>
      </c>
      <c r="AL116" s="51">
        <f t="shared" si="283"/>
        <v>0.16965742251223492</v>
      </c>
      <c r="AM116" s="51">
        <f t="shared" si="284"/>
        <v>1.5493150684931507</v>
      </c>
      <c r="AN116" s="58">
        <f t="shared" si="285"/>
        <v>0.83972602739726032</v>
      </c>
      <c r="AO116" s="58">
        <f t="shared" si="286"/>
        <v>1.1432637405881623</v>
      </c>
      <c r="AP116" s="58">
        <f t="shared" si="287"/>
        <v>0.87468880932543269</v>
      </c>
      <c r="AQ116" s="58">
        <f t="shared" si="288"/>
        <v>0.25251889061793947</v>
      </c>
      <c r="AR116" s="51">
        <f t="shared" si="289"/>
        <v>1.1432637405881623</v>
      </c>
      <c r="AS116" s="59">
        <f t="shared" si="290"/>
        <v>600.47671895796248</v>
      </c>
      <c r="AT116" s="59">
        <f t="shared" si="291"/>
        <v>2063.6799906402703</v>
      </c>
      <c r="AU116" s="51">
        <f t="shared" si="292"/>
        <v>0.1531351486385211</v>
      </c>
      <c r="AV116" s="51">
        <f t="shared" si="293"/>
        <v>0.9089009103335951</v>
      </c>
      <c r="AX116" s="142">
        <v>158</v>
      </c>
      <c r="AY116" s="142">
        <v>2182</v>
      </c>
      <c r="AZ116" s="142">
        <v>2219</v>
      </c>
      <c r="BA116" s="142">
        <v>0.5</v>
      </c>
      <c r="BB116" s="142">
        <v>22</v>
      </c>
      <c r="BC116" s="142">
        <v>251</v>
      </c>
      <c r="BD116" s="142">
        <v>1000</v>
      </c>
      <c r="BE116" s="142">
        <v>62</v>
      </c>
      <c r="BF116" s="142">
        <v>240</v>
      </c>
      <c r="BG116" s="142">
        <v>130</v>
      </c>
      <c r="BH116" s="142">
        <v>90</v>
      </c>
      <c r="BI116" s="142">
        <v>13</v>
      </c>
      <c r="BJ116" s="142">
        <v>374</v>
      </c>
      <c r="BK116" s="142">
        <v>200</v>
      </c>
      <c r="BL116" s="142">
        <v>8.5</v>
      </c>
      <c r="BM116" s="142">
        <v>12.6</v>
      </c>
      <c r="BN116" s="142">
        <v>168</v>
      </c>
      <c r="BO116" s="142">
        <v>333</v>
      </c>
      <c r="BP116" s="142">
        <v>37.5</v>
      </c>
      <c r="BQ116" s="142">
        <v>133</v>
      </c>
      <c r="BR116" s="142">
        <v>17.7</v>
      </c>
      <c r="BS116" s="142">
        <v>4.3499999999999996</v>
      </c>
      <c r="BT116" s="142">
        <v>8.5</v>
      </c>
      <c r="BU116" s="142">
        <v>0.9</v>
      </c>
      <c r="BV116" s="142">
        <v>3.7</v>
      </c>
      <c r="BW116" s="142">
        <v>0.5</v>
      </c>
      <c r="BX116" s="142">
        <v>1.1000000000000001</v>
      </c>
      <c r="BY116" s="142">
        <v>0.14000000000000001</v>
      </c>
      <c r="BZ116" s="142">
        <v>0.8</v>
      </c>
      <c r="CA116" s="142">
        <v>0.12</v>
      </c>
      <c r="CB116" s="142">
        <v>7</v>
      </c>
      <c r="CC116" s="142">
        <v>19.3</v>
      </c>
      <c r="CD116" s="142">
        <v>4.5</v>
      </c>
      <c r="CE116" s="142">
        <v>15</v>
      </c>
      <c r="CG116" s="61">
        <f t="shared" si="294"/>
        <v>694.21487603305786</v>
      </c>
      <c r="CH116" s="61">
        <f t="shared" si="295"/>
        <v>524.40944881889766</v>
      </c>
      <c r="CI116" s="61">
        <f t="shared" si="296"/>
        <v>389.40809968847356</v>
      </c>
      <c r="CJ116" s="61">
        <f t="shared" si="297"/>
        <v>277.08333333333337</v>
      </c>
      <c r="CK116" s="61">
        <f t="shared" si="298"/>
        <v>113.46153846153845</v>
      </c>
      <c r="CL116" s="61">
        <f t="shared" si="299"/>
        <v>73.604060913705581</v>
      </c>
      <c r="CM116" s="61">
        <f t="shared" si="300"/>
        <v>40.094339622641513</v>
      </c>
      <c r="CN116" s="61">
        <f t="shared" si="301"/>
        <v>23.936170212765958</v>
      </c>
      <c r="CO116" s="61">
        <f t="shared" si="302"/>
        <v>14.285714285714286</v>
      </c>
      <c r="CP116" s="61">
        <f t="shared" si="303"/>
        <v>8.5470085470085468</v>
      </c>
      <c r="CQ116" s="61">
        <f t="shared" si="304"/>
        <v>6.7484662576687118</v>
      </c>
      <c r="CR116" s="61">
        <f t="shared" si="305"/>
        <v>5.46875</v>
      </c>
      <c r="CS116" s="61">
        <f t="shared" si="306"/>
        <v>4.8192771084337354</v>
      </c>
      <c r="CT116" s="61">
        <f t="shared" si="307"/>
        <v>4.8</v>
      </c>
      <c r="CU116" s="60">
        <f t="shared" si="308"/>
        <v>11.095000000000001</v>
      </c>
      <c r="CV116" s="60">
        <f t="shared" si="309"/>
        <v>13.208333333333334</v>
      </c>
      <c r="CW116" s="60">
        <f t="shared" si="310"/>
        <v>0.84</v>
      </c>
      <c r="CX116" s="59">
        <f t="shared" si="311"/>
        <v>159.40704999999997</v>
      </c>
      <c r="CY116" s="60">
        <f>BO116/CB116</f>
        <v>47.571428571428569</v>
      </c>
      <c r="CZ116" s="60">
        <f t="shared" si="312"/>
        <v>44.444444444444443</v>
      </c>
      <c r="DA116" s="60">
        <f t="shared" si="313"/>
        <v>8.9265536723163841</v>
      </c>
      <c r="DB116" s="60">
        <f t="shared" si="274"/>
        <v>1.87</v>
      </c>
      <c r="DC116" s="61">
        <f t="shared" si="314"/>
        <v>114.97409326424869</v>
      </c>
      <c r="DD116" s="60">
        <f t="shared" si="315"/>
        <v>1.5317460317460319</v>
      </c>
      <c r="DE116" s="60">
        <f t="shared" si="316"/>
        <v>15.749999999999998</v>
      </c>
      <c r="DF116" s="60">
        <f t="shared" si="317"/>
        <v>24.125</v>
      </c>
      <c r="DG116" s="51">
        <f t="shared" si="318"/>
        <v>15.384615384615385</v>
      </c>
      <c r="DH116" s="59">
        <f t="shared" si="319"/>
        <v>302.92416666666668</v>
      </c>
      <c r="DI116" s="51">
        <f t="shared" si="320"/>
        <v>1.636907160679252</v>
      </c>
      <c r="DJ116" s="60">
        <f t="shared" si="321"/>
        <v>1400</v>
      </c>
      <c r="DK116" s="60">
        <f t="shared" si="322"/>
        <v>144.62809917355372</v>
      </c>
      <c r="DL116" s="61">
        <f t="shared" si="323"/>
        <v>6.1185039921557651</v>
      </c>
      <c r="DM116" s="60">
        <f t="shared" si="324"/>
        <v>210</v>
      </c>
      <c r="DN116" s="61">
        <f t="shared" si="325"/>
        <v>22.124999999999996</v>
      </c>
      <c r="DO116" s="61">
        <f t="shared" si="326"/>
        <v>6.3909774436090222E-2</v>
      </c>
      <c r="DP116" s="59">
        <f t="shared" si="327"/>
        <v>2727.5</v>
      </c>
      <c r="DQ116" s="60">
        <f t="shared" si="328"/>
        <v>16.406015037593985</v>
      </c>
      <c r="DR116" s="60">
        <f t="shared" si="329"/>
        <v>39.978439488406948</v>
      </c>
      <c r="DS116" s="51">
        <f t="shared" si="330"/>
        <v>1.0770320544911078</v>
      </c>
      <c r="DT116" s="62">
        <f t="shared" si="247"/>
        <v>4.5829514207149406E-4</v>
      </c>
      <c r="DU116" s="60">
        <f t="shared" si="331"/>
        <v>28.76923076923077</v>
      </c>
      <c r="DV116" s="60">
        <f t="shared" si="332"/>
        <v>15.873015873015873</v>
      </c>
      <c r="DW116" s="60">
        <f t="shared" si="333"/>
        <v>0.12594440356134928</v>
      </c>
      <c r="DX116" s="60">
        <f t="shared" si="275"/>
        <v>53.475935828877006</v>
      </c>
      <c r="DY116" s="60">
        <f t="shared" si="334"/>
        <v>5.1604278074866308</v>
      </c>
      <c r="DZ116" s="51">
        <f t="shared" si="335"/>
        <v>0.5360592862801441</v>
      </c>
      <c r="EA116" s="63">
        <f t="shared" si="340"/>
        <v>2.976190476190476E-3</v>
      </c>
      <c r="EB116" s="58">
        <f t="shared" si="336"/>
        <v>9.6500000000000002E-2</v>
      </c>
      <c r="EC116" s="58">
        <f t="shared" si="337"/>
        <v>0.10757164340112861</v>
      </c>
      <c r="EE116" s="51">
        <f t="shared" si="338"/>
        <v>41.399067150672749</v>
      </c>
      <c r="EF116" s="51">
        <f t="shared" si="338"/>
        <v>5.4998810668817804</v>
      </c>
      <c r="EG116" s="51">
        <f t="shared" si="338"/>
        <v>7.5496675043694994</v>
      </c>
      <c r="EH116" s="51">
        <f t="shared" si="338"/>
        <v>12.431096356509778</v>
      </c>
      <c r="EI116" s="51">
        <f t="shared" si="338"/>
        <v>0.18098517989926882</v>
      </c>
      <c r="EJ116" s="51">
        <f t="shared" si="338"/>
        <v>13.382561302265934</v>
      </c>
      <c r="EK116" s="51">
        <f t="shared" si="338"/>
        <v>11.696813626632744</v>
      </c>
      <c r="EL116" s="51">
        <f t="shared" si="338"/>
        <v>1.0755690691156548</v>
      </c>
      <c r="EM116" s="51">
        <f t="shared" si="338"/>
        <v>6.3396523016143878</v>
      </c>
      <c r="EN116" s="51">
        <f t="shared" si="338"/>
        <v>0.44470644203820342</v>
      </c>
      <c r="EO116" s="51">
        <f t="shared" si="339"/>
        <v>100.00000000000003</v>
      </c>
    </row>
    <row r="117" spans="1:145" s="48" customFormat="1" ht="15" customHeight="1">
      <c r="A117" s="139">
        <v>55</v>
      </c>
      <c r="B117" s="48" t="s">
        <v>265</v>
      </c>
      <c r="C117" s="48">
        <v>7</v>
      </c>
      <c r="D117" s="140" t="s">
        <v>2</v>
      </c>
      <c r="E117" s="48" t="s">
        <v>0</v>
      </c>
      <c r="G117" s="141">
        <v>42.03</v>
      </c>
      <c r="H117" s="141">
        <v>3.9729999999999999</v>
      </c>
      <c r="I117" s="141">
        <v>5.97</v>
      </c>
      <c r="J117" s="141">
        <v>12.12</v>
      </c>
      <c r="K117" s="141">
        <v>0.152</v>
      </c>
      <c r="L117" s="141">
        <v>22.2</v>
      </c>
      <c r="M117" s="141">
        <v>6.82</v>
      </c>
      <c r="N117" s="141">
        <v>0.82</v>
      </c>
      <c r="O117" s="141">
        <v>4.8499999999999996</v>
      </c>
      <c r="P117" s="141">
        <v>0.15</v>
      </c>
      <c r="Q117" s="141">
        <v>0.72</v>
      </c>
      <c r="R117" s="141">
        <v>0.06</v>
      </c>
      <c r="S117" s="52">
        <f t="shared" si="276"/>
        <v>99.805000000000007</v>
      </c>
      <c r="U117" s="54">
        <v>0.70562608599999987</v>
      </c>
      <c r="V117" s="54">
        <v>0.51253124999999999</v>
      </c>
      <c r="W117" s="116">
        <v>19.394642546297344</v>
      </c>
      <c r="X117" s="116">
        <v>15.724187103382736</v>
      </c>
      <c r="Y117" s="116">
        <v>39.976036830366994</v>
      </c>
      <c r="AD117" s="48">
        <v>-3.3041860666666665</v>
      </c>
      <c r="AF117" s="19">
        <f t="shared" si="277"/>
        <v>0.81020119808300128</v>
      </c>
      <c r="AG117" s="59">
        <f t="shared" si="278"/>
        <v>23818.134999999998</v>
      </c>
      <c r="AH117" s="59">
        <f t="shared" si="279"/>
        <v>40264.699999999997</v>
      </c>
      <c r="AI117" s="59">
        <f t="shared" si="280"/>
        <v>654.6</v>
      </c>
      <c r="AJ117" s="51">
        <f t="shared" si="281"/>
        <v>5.67</v>
      </c>
      <c r="AK117" s="51">
        <f t="shared" si="282"/>
        <v>5.9146341463414629</v>
      </c>
      <c r="AL117" s="51">
        <f t="shared" si="283"/>
        <v>0.16907216494845362</v>
      </c>
      <c r="AM117" s="51">
        <f t="shared" si="284"/>
        <v>1.1423785594639864</v>
      </c>
      <c r="AN117" s="58">
        <f t="shared" si="285"/>
        <v>0.812395309882747</v>
      </c>
      <c r="AO117" s="58">
        <f t="shared" si="286"/>
        <v>1.1052715705058813</v>
      </c>
      <c r="AP117" s="58">
        <f t="shared" si="287"/>
        <v>0.9047550183004357</v>
      </c>
      <c r="AQ117" s="58">
        <f t="shared" si="288"/>
        <v>0.3142431240694486</v>
      </c>
      <c r="AR117" s="51">
        <f t="shared" si="289"/>
        <v>1.1052715705058813</v>
      </c>
      <c r="AS117" s="59">
        <f t="shared" si="290"/>
        <v>1133.6026485892464</v>
      </c>
      <c r="AT117" s="59">
        <f t="shared" si="291"/>
        <v>1966.5071574445101</v>
      </c>
      <c r="AU117" s="51">
        <f t="shared" si="292"/>
        <v>0.11539376635736377</v>
      </c>
      <c r="AV117" s="51">
        <f t="shared" si="293"/>
        <v>0.87931874517669728</v>
      </c>
      <c r="AX117" s="142">
        <v>192</v>
      </c>
      <c r="AY117" s="142">
        <v>585</v>
      </c>
      <c r="AZ117" s="142">
        <v>976</v>
      </c>
      <c r="BA117" s="142">
        <v>0.6</v>
      </c>
      <c r="BB117" s="142">
        <v>17</v>
      </c>
      <c r="BC117" s="142">
        <v>164</v>
      </c>
      <c r="BD117" s="142">
        <v>1550</v>
      </c>
      <c r="BE117" s="142">
        <v>99</v>
      </c>
      <c r="BF117" s="142">
        <v>1020</v>
      </c>
      <c r="BG117" s="142">
        <v>90</v>
      </c>
      <c r="BH117" s="142">
        <v>80</v>
      </c>
      <c r="BI117" s="142">
        <v>6</v>
      </c>
      <c r="BJ117" s="142">
        <v>154</v>
      </c>
      <c r="BK117" s="142">
        <v>81</v>
      </c>
      <c r="BL117" s="142">
        <v>4.0999999999999996</v>
      </c>
      <c r="BM117" s="142">
        <v>6.7</v>
      </c>
      <c r="BN117" s="142">
        <v>66.099999999999994</v>
      </c>
      <c r="BO117" s="142">
        <v>129</v>
      </c>
      <c r="BP117" s="142">
        <v>14.5</v>
      </c>
      <c r="BQ117" s="142">
        <v>51</v>
      </c>
      <c r="BR117" s="142">
        <v>6.7</v>
      </c>
      <c r="BS117" s="142">
        <v>1.68</v>
      </c>
      <c r="BT117" s="142">
        <v>3.5</v>
      </c>
      <c r="BU117" s="142">
        <v>0.4</v>
      </c>
      <c r="BV117" s="142">
        <v>1.8</v>
      </c>
      <c r="BW117" s="142">
        <v>0.3</v>
      </c>
      <c r="BX117" s="142">
        <v>0.7</v>
      </c>
      <c r="BY117" s="142">
        <v>0.08</v>
      </c>
      <c r="BZ117" s="142">
        <v>0.5</v>
      </c>
      <c r="CA117" s="142">
        <v>0.08</v>
      </c>
      <c r="CB117" s="142"/>
      <c r="CC117" s="142">
        <v>8</v>
      </c>
      <c r="CD117" s="142">
        <v>1.8</v>
      </c>
      <c r="CE117" s="142">
        <v>12</v>
      </c>
      <c r="CG117" s="61">
        <f t="shared" si="294"/>
        <v>273.14049586776861</v>
      </c>
      <c r="CH117" s="61">
        <f t="shared" si="295"/>
        <v>203.14960629921259</v>
      </c>
      <c r="CI117" s="61">
        <f t="shared" si="296"/>
        <v>150.57113187954309</v>
      </c>
      <c r="CJ117" s="61">
        <f t="shared" si="297"/>
        <v>106.25</v>
      </c>
      <c r="CK117" s="61">
        <f t="shared" si="298"/>
        <v>42.948717948717949</v>
      </c>
      <c r="CL117" s="61">
        <f t="shared" si="299"/>
        <v>28.426395939086294</v>
      </c>
      <c r="CM117" s="61">
        <f t="shared" si="300"/>
        <v>16.509433962264151</v>
      </c>
      <c r="CN117" s="61">
        <f t="shared" si="301"/>
        <v>10.638297872340425</v>
      </c>
      <c r="CO117" s="61">
        <f t="shared" si="302"/>
        <v>6.9498069498069501</v>
      </c>
      <c r="CP117" s="61">
        <f t="shared" si="303"/>
        <v>5.1282051282051277</v>
      </c>
      <c r="CQ117" s="61">
        <f t="shared" si="304"/>
        <v>4.2944785276073612</v>
      </c>
      <c r="CR117" s="61">
        <f t="shared" si="305"/>
        <v>3.125</v>
      </c>
      <c r="CS117" s="61">
        <f t="shared" si="306"/>
        <v>3.012048192771084</v>
      </c>
      <c r="CT117" s="61">
        <f t="shared" si="307"/>
        <v>3.1999999999999997</v>
      </c>
      <c r="CU117" s="60">
        <f t="shared" si="308"/>
        <v>12.049382716049383</v>
      </c>
      <c r="CV117" s="60">
        <f t="shared" si="309"/>
        <v>14.765506807866871</v>
      </c>
      <c r="CW117" s="60">
        <f t="shared" si="310"/>
        <v>0.81604938271604932</v>
      </c>
      <c r="CX117" s="59">
        <f t="shared" si="311"/>
        <v>294.05104938271603</v>
      </c>
      <c r="CY117" s="60"/>
      <c r="CZ117" s="60">
        <f t="shared" si="312"/>
        <v>45</v>
      </c>
      <c r="DA117" s="60">
        <f t="shared" si="313"/>
        <v>28.656716417910449</v>
      </c>
      <c r="DB117" s="60">
        <f t="shared" si="274"/>
        <v>1.9012345679012346</v>
      </c>
      <c r="DC117" s="61">
        <f t="shared" si="314"/>
        <v>122</v>
      </c>
      <c r="DD117" s="60">
        <f t="shared" si="315"/>
        <v>1.1940298507462686</v>
      </c>
      <c r="DE117" s="60">
        <f t="shared" si="316"/>
        <v>13.4</v>
      </c>
      <c r="DF117" s="60">
        <f t="shared" si="317"/>
        <v>16</v>
      </c>
      <c r="DG117" s="51">
        <f t="shared" si="318"/>
        <v>13.5</v>
      </c>
      <c r="DH117" s="59">
        <f t="shared" si="319"/>
        <v>609.14826021180033</v>
      </c>
      <c r="DI117" s="51">
        <f t="shared" si="320"/>
        <v>1.1784426283186034</v>
      </c>
      <c r="DJ117" s="60">
        <f t="shared" si="321"/>
        <v>826.24999999999989</v>
      </c>
      <c r="DK117" s="60">
        <f t="shared" si="322"/>
        <v>85.3564049586777</v>
      </c>
      <c r="DL117" s="61">
        <f t="shared" si="323"/>
        <v>6.3596891575181944</v>
      </c>
      <c r="DM117" s="60">
        <f t="shared" si="324"/>
        <v>132.19999999999999</v>
      </c>
      <c r="DN117" s="61">
        <f t="shared" si="325"/>
        <v>13.4</v>
      </c>
      <c r="DO117" s="61">
        <f t="shared" si="326"/>
        <v>8.039215686274509E-2</v>
      </c>
      <c r="DP117" s="59">
        <f t="shared" si="327"/>
        <v>1170</v>
      </c>
      <c r="DQ117" s="60">
        <f t="shared" si="328"/>
        <v>11.470588235294118</v>
      </c>
      <c r="DR117" s="60">
        <f t="shared" si="329"/>
        <v>27.148862019525314</v>
      </c>
      <c r="DS117" s="51">
        <f t="shared" si="330"/>
        <v>1.0535940908478292</v>
      </c>
      <c r="DT117" s="62">
        <f t="shared" si="247"/>
        <v>1.7094017094017094E-3</v>
      </c>
      <c r="DU117" s="60">
        <f t="shared" si="331"/>
        <v>25.666666666666668</v>
      </c>
      <c r="DV117" s="60">
        <f t="shared" si="332"/>
        <v>12.08955223880597</v>
      </c>
      <c r="DW117" s="60">
        <f t="shared" si="333"/>
        <v>0.16434438522559258</v>
      </c>
      <c r="DX117" s="60">
        <f t="shared" si="275"/>
        <v>52.597402597402599</v>
      </c>
      <c r="DY117" s="60">
        <f t="shared" si="334"/>
        <v>5.1948051948051948</v>
      </c>
      <c r="DZ117" s="51">
        <f t="shared" si="335"/>
        <v>1.1765776513215578</v>
      </c>
      <c r="EA117" s="63">
        <f t="shared" si="340"/>
        <v>9.0771558245083209E-3</v>
      </c>
      <c r="EB117" s="58">
        <f t="shared" si="336"/>
        <v>9.8765432098765427E-2</v>
      </c>
      <c r="EC117" s="58">
        <f t="shared" si="337"/>
        <v>0</v>
      </c>
      <c r="EE117" s="51">
        <f t="shared" si="338"/>
        <v>42.418125851541603</v>
      </c>
      <c r="EF117" s="51">
        <f t="shared" si="338"/>
        <v>4.009688651158096</v>
      </c>
      <c r="EG117" s="51">
        <f t="shared" si="338"/>
        <v>6.0251299389413129</v>
      </c>
      <c r="EH117" s="51">
        <f t="shared" si="338"/>
        <v>12.231922087096937</v>
      </c>
      <c r="EI117" s="51">
        <f t="shared" si="338"/>
        <v>0.15340364333652923</v>
      </c>
      <c r="EJ117" s="51">
        <f t="shared" si="338"/>
        <v>22.405005803098348</v>
      </c>
      <c r="EK117" s="51">
        <f t="shared" si="338"/>
        <v>6.8829792602311137</v>
      </c>
      <c r="EL117" s="51">
        <f t="shared" si="338"/>
        <v>0.82757228642074976</v>
      </c>
      <c r="EM117" s="51">
        <f t="shared" si="338"/>
        <v>4.8947873038300438</v>
      </c>
      <c r="EN117" s="51">
        <f t="shared" si="338"/>
        <v>0.15138517434525911</v>
      </c>
      <c r="EO117" s="51">
        <f t="shared" si="339"/>
        <v>99.999999999999986</v>
      </c>
    </row>
    <row r="118" spans="1:145" s="48" customFormat="1">
      <c r="A118" s="139">
        <v>57</v>
      </c>
      <c r="B118" s="48" t="s">
        <v>265</v>
      </c>
      <c r="C118" s="48">
        <v>7</v>
      </c>
      <c r="D118" s="140" t="s">
        <v>2</v>
      </c>
      <c r="E118" s="48" t="s">
        <v>0</v>
      </c>
      <c r="G118" s="141">
        <v>40.520000000000003</v>
      </c>
      <c r="H118" s="141">
        <v>5.2359999999999998</v>
      </c>
      <c r="I118" s="141">
        <v>6.72</v>
      </c>
      <c r="J118" s="141">
        <v>11.51</v>
      </c>
      <c r="K118" s="141">
        <v>0.153</v>
      </c>
      <c r="L118" s="141">
        <v>17.78</v>
      </c>
      <c r="M118" s="141">
        <v>8.98</v>
      </c>
      <c r="N118" s="141">
        <v>1.17</v>
      </c>
      <c r="O118" s="141">
        <v>7.15</v>
      </c>
      <c r="P118" s="141">
        <v>0.09</v>
      </c>
      <c r="Q118" s="141">
        <v>0.2</v>
      </c>
      <c r="R118" s="141">
        <v>0.06</v>
      </c>
      <c r="S118" s="52">
        <f t="shared" si="276"/>
        <v>99.509000000000015</v>
      </c>
      <c r="U118" s="54"/>
      <c r="V118" s="54"/>
      <c r="W118" s="116"/>
      <c r="X118" s="116"/>
      <c r="Y118" s="116"/>
      <c r="AF118" s="19">
        <f t="shared" si="277"/>
        <v>0.78260986775250663</v>
      </c>
      <c r="AG118" s="59">
        <f t="shared" si="278"/>
        <v>31389.82</v>
      </c>
      <c r="AH118" s="59">
        <f t="shared" si="279"/>
        <v>59359.3</v>
      </c>
      <c r="AI118" s="59">
        <f t="shared" si="280"/>
        <v>392.76</v>
      </c>
      <c r="AJ118" s="51">
        <f t="shared" si="281"/>
        <v>8.32</v>
      </c>
      <c r="AK118" s="51">
        <f t="shared" si="282"/>
        <v>6.1111111111111116</v>
      </c>
      <c r="AL118" s="51">
        <f t="shared" si="283"/>
        <v>0.16363636363636361</v>
      </c>
      <c r="AM118" s="51">
        <f t="shared" si="284"/>
        <v>1.3363095238095237</v>
      </c>
      <c r="AN118" s="58">
        <f t="shared" si="285"/>
        <v>1.0639880952380953</v>
      </c>
      <c r="AO118" s="58">
        <f t="shared" si="286"/>
        <v>1.4380516170547448</v>
      </c>
      <c r="AP118" s="58">
        <f t="shared" si="287"/>
        <v>0.69538533119422186</v>
      </c>
      <c r="AQ118" s="58">
        <f t="shared" si="288"/>
        <v>0.25855703243582562</v>
      </c>
      <c r="AR118" s="51">
        <f t="shared" si="289"/>
        <v>1.4380516170547448</v>
      </c>
      <c r="AS118" s="59">
        <f t="shared" si="290"/>
        <v>339.66947334060228</v>
      </c>
      <c r="AT118" s="59">
        <f t="shared" si="291"/>
        <v>1988.7108526774298</v>
      </c>
      <c r="AU118" s="51">
        <f t="shared" si="292"/>
        <v>0.17645607107601183</v>
      </c>
      <c r="AV118" s="51">
        <f t="shared" si="293"/>
        <v>1.1516372207056917</v>
      </c>
      <c r="AX118" s="142">
        <v>141</v>
      </c>
      <c r="AY118" s="142">
        <v>1129</v>
      </c>
      <c r="AZ118" s="142">
        <v>1516</v>
      </c>
      <c r="BA118" s="142"/>
      <c r="BB118" s="142">
        <v>21</v>
      </c>
      <c r="BC118" s="142">
        <v>200</v>
      </c>
      <c r="BD118" s="142">
        <v>1240</v>
      </c>
      <c r="BE118" s="142">
        <v>78</v>
      </c>
      <c r="BF118" s="142">
        <v>560</v>
      </c>
      <c r="BG118" s="142">
        <v>100</v>
      </c>
      <c r="BH118" s="142">
        <v>80</v>
      </c>
      <c r="BI118" s="142">
        <v>9</v>
      </c>
      <c r="BJ118" s="142">
        <v>264</v>
      </c>
      <c r="BK118" s="142">
        <v>136</v>
      </c>
      <c r="BL118" s="142">
        <v>6.3</v>
      </c>
      <c r="BM118" s="142">
        <v>9.9</v>
      </c>
      <c r="BN118" s="142">
        <v>112</v>
      </c>
      <c r="BO118" s="142">
        <v>222</v>
      </c>
      <c r="BP118" s="142">
        <v>25</v>
      </c>
      <c r="BQ118" s="142">
        <v>88.4</v>
      </c>
      <c r="BR118" s="142">
        <v>12</v>
      </c>
      <c r="BS118" s="142">
        <v>2.91</v>
      </c>
      <c r="BT118" s="142">
        <v>5.9</v>
      </c>
      <c r="BU118" s="142">
        <v>0.6</v>
      </c>
      <c r="BV118" s="142">
        <v>2.8</v>
      </c>
      <c r="BW118" s="142">
        <v>0.4</v>
      </c>
      <c r="BX118" s="142">
        <v>0.8</v>
      </c>
      <c r="BY118" s="142">
        <v>0.1</v>
      </c>
      <c r="BZ118" s="142">
        <v>0.6</v>
      </c>
      <c r="CA118" s="142">
        <v>0.09</v>
      </c>
      <c r="CB118" s="142"/>
      <c r="CC118" s="142">
        <v>11.7</v>
      </c>
      <c r="CD118" s="142">
        <v>3</v>
      </c>
      <c r="CE118" s="142">
        <v>14</v>
      </c>
      <c r="CG118" s="61">
        <f t="shared" si="294"/>
        <v>462.80991735537191</v>
      </c>
      <c r="CH118" s="61">
        <f t="shared" si="295"/>
        <v>349.6062992125984</v>
      </c>
      <c r="CI118" s="61">
        <f t="shared" si="296"/>
        <v>259.60539979231567</v>
      </c>
      <c r="CJ118" s="61">
        <f t="shared" si="297"/>
        <v>184.16666666666669</v>
      </c>
      <c r="CK118" s="61">
        <f t="shared" si="298"/>
        <v>76.92307692307692</v>
      </c>
      <c r="CL118" s="61">
        <f t="shared" si="299"/>
        <v>49.238578680203048</v>
      </c>
      <c r="CM118" s="61">
        <f t="shared" si="300"/>
        <v>27.830188679245285</v>
      </c>
      <c r="CN118" s="61">
        <f t="shared" si="301"/>
        <v>15.957446808510637</v>
      </c>
      <c r="CO118" s="61">
        <f t="shared" si="302"/>
        <v>10.810810810810811</v>
      </c>
      <c r="CP118" s="61">
        <f t="shared" si="303"/>
        <v>6.8376068376068373</v>
      </c>
      <c r="CQ118" s="61">
        <f t="shared" si="304"/>
        <v>4.9079754601226995</v>
      </c>
      <c r="CR118" s="61">
        <f t="shared" si="305"/>
        <v>3.90625</v>
      </c>
      <c r="CS118" s="61">
        <f t="shared" si="306"/>
        <v>3.6144578313253009</v>
      </c>
      <c r="CT118" s="61">
        <f t="shared" si="307"/>
        <v>3.5999999999999996</v>
      </c>
      <c r="CU118" s="60">
        <f t="shared" si="308"/>
        <v>11.147058823529411</v>
      </c>
      <c r="CV118" s="60">
        <f t="shared" si="309"/>
        <v>13.535714285714286</v>
      </c>
      <c r="CW118" s="60">
        <f t="shared" si="310"/>
        <v>0.82352941176470584</v>
      </c>
      <c r="CX118" s="59">
        <f t="shared" si="311"/>
        <v>230.8075</v>
      </c>
      <c r="CY118" s="60"/>
      <c r="CZ118" s="60">
        <f t="shared" si="312"/>
        <v>45.333333333333336</v>
      </c>
      <c r="DA118" s="60">
        <f t="shared" si="313"/>
        <v>11.75</v>
      </c>
      <c r="DB118" s="60">
        <f t="shared" si="274"/>
        <v>1.9411764705882353</v>
      </c>
      <c r="DC118" s="61">
        <f t="shared" si="314"/>
        <v>129.57264957264957</v>
      </c>
      <c r="DD118" s="60">
        <f t="shared" si="315"/>
        <v>1.1818181818181817</v>
      </c>
      <c r="DE118" s="60">
        <f t="shared" si="316"/>
        <v>16.5</v>
      </c>
      <c r="DF118" s="60">
        <f t="shared" si="317"/>
        <v>19.5</v>
      </c>
      <c r="DG118" s="51">
        <f t="shared" si="318"/>
        <v>15.111111111111111</v>
      </c>
      <c r="DH118" s="59">
        <f t="shared" si="319"/>
        <v>529.99374999999998</v>
      </c>
      <c r="DI118" s="51">
        <f t="shared" si="320"/>
        <v>1.2622803079982954</v>
      </c>
      <c r="DJ118" s="60">
        <f t="shared" si="321"/>
        <v>1244.4444444444446</v>
      </c>
      <c r="DK118" s="60">
        <f t="shared" si="322"/>
        <v>128.55831037649222</v>
      </c>
      <c r="DL118" s="61">
        <f t="shared" si="323"/>
        <v>6.0165289256198351</v>
      </c>
      <c r="DM118" s="60">
        <f t="shared" si="324"/>
        <v>186.66666666666669</v>
      </c>
      <c r="DN118" s="61">
        <f t="shared" si="325"/>
        <v>20</v>
      </c>
      <c r="DO118" s="61">
        <f t="shared" si="326"/>
        <v>7.1266968325791852E-2</v>
      </c>
      <c r="DP118" s="59">
        <f t="shared" si="327"/>
        <v>1881.6666666666667</v>
      </c>
      <c r="DQ118" s="60">
        <f t="shared" si="328"/>
        <v>12.771493212669682</v>
      </c>
      <c r="DR118" s="60">
        <f t="shared" si="329"/>
        <v>30.153970165424127</v>
      </c>
      <c r="DS118" s="51">
        <f t="shared" si="330"/>
        <v>1.0502962820647812</v>
      </c>
      <c r="DT118" s="62">
        <f t="shared" si="247"/>
        <v>8.8573959255978745E-4</v>
      </c>
      <c r="DU118" s="60">
        <f t="shared" si="331"/>
        <v>29.333333333333332</v>
      </c>
      <c r="DV118" s="60">
        <f t="shared" si="332"/>
        <v>13.737373737373737</v>
      </c>
      <c r="DW118" s="60">
        <f t="shared" si="333"/>
        <v>0.1019624774643213</v>
      </c>
      <c r="DX118" s="60">
        <f t="shared" si="275"/>
        <v>51.515151515151516</v>
      </c>
      <c r="DY118" s="60">
        <f t="shared" si="334"/>
        <v>4.4318181818181817</v>
      </c>
      <c r="DZ118" s="51">
        <f t="shared" si="335"/>
        <v>0.8009285705411282</v>
      </c>
      <c r="EA118" s="63">
        <f t="shared" si="340"/>
        <v>0</v>
      </c>
      <c r="EB118" s="58">
        <f t="shared" si="336"/>
        <v>8.6029411764705882E-2</v>
      </c>
      <c r="EC118" s="58">
        <f t="shared" si="337"/>
        <v>0</v>
      </c>
      <c r="EE118" s="51">
        <f t="shared" si="338"/>
        <v>40.801941415178888</v>
      </c>
      <c r="EF118" s="51">
        <f t="shared" si="338"/>
        <v>5.2724325086346653</v>
      </c>
      <c r="EG118" s="51">
        <f t="shared" si="338"/>
        <v>6.7667582998519764</v>
      </c>
      <c r="EH118" s="51">
        <f t="shared" si="338"/>
        <v>11.590087504657181</v>
      </c>
      <c r="EI118" s="51">
        <f t="shared" si="338"/>
        <v>0.15406458629127268</v>
      </c>
      <c r="EJ118" s="51">
        <f t="shared" si="338"/>
        <v>17.903714668358354</v>
      </c>
      <c r="EK118" s="51">
        <f t="shared" si="338"/>
        <v>9.0424835614093375</v>
      </c>
      <c r="EL118" s="51">
        <f t="shared" si="338"/>
        <v>1.1781409539920851</v>
      </c>
      <c r="EM118" s="51">
        <f t="shared" si="338"/>
        <v>7.1997502743960764</v>
      </c>
      <c r="EN118" s="51">
        <f t="shared" si="338"/>
        <v>9.0626227230160394E-2</v>
      </c>
      <c r="EO118" s="51">
        <f t="shared" si="339"/>
        <v>100</v>
      </c>
    </row>
    <row r="119" spans="1:145" s="48" customFormat="1">
      <c r="A119" s="139">
        <v>58</v>
      </c>
      <c r="B119" s="48" t="s">
        <v>265</v>
      </c>
      <c r="C119" s="48">
        <v>7</v>
      </c>
      <c r="D119" s="140" t="s">
        <v>2</v>
      </c>
      <c r="E119" s="48" t="s">
        <v>0</v>
      </c>
      <c r="G119" s="141">
        <v>40.049999999999997</v>
      </c>
      <c r="H119" s="141">
        <v>5.5030000000000001</v>
      </c>
      <c r="I119" s="141">
        <v>6.85</v>
      </c>
      <c r="J119" s="141">
        <v>11.67</v>
      </c>
      <c r="K119" s="141">
        <v>0.157</v>
      </c>
      <c r="L119" s="141">
        <v>15.21</v>
      </c>
      <c r="M119" s="141">
        <v>10.02</v>
      </c>
      <c r="N119" s="141">
        <v>0.68</v>
      </c>
      <c r="O119" s="141">
        <v>5.3</v>
      </c>
      <c r="P119" s="141">
        <v>0.3</v>
      </c>
      <c r="Q119" s="141">
        <v>3.69</v>
      </c>
      <c r="R119" s="141">
        <v>0.06</v>
      </c>
      <c r="S119" s="52">
        <f t="shared" si="276"/>
        <v>99.429999999999993</v>
      </c>
      <c r="U119" s="54"/>
      <c r="V119" s="54"/>
      <c r="W119" s="116"/>
      <c r="X119" s="116"/>
      <c r="Y119" s="116"/>
      <c r="AF119" s="19">
        <f t="shared" si="277"/>
        <v>0.7523181762437855</v>
      </c>
      <c r="AG119" s="59">
        <f t="shared" si="278"/>
        <v>32990.485000000001</v>
      </c>
      <c r="AH119" s="59">
        <f t="shared" si="279"/>
        <v>44000.6</v>
      </c>
      <c r="AI119" s="59">
        <f t="shared" si="280"/>
        <v>1309.2</v>
      </c>
      <c r="AJ119" s="51">
        <f t="shared" si="281"/>
        <v>5.9799999999999995</v>
      </c>
      <c r="AK119" s="51">
        <f t="shared" si="282"/>
        <v>7.7941176470588225</v>
      </c>
      <c r="AL119" s="51">
        <f t="shared" si="283"/>
        <v>0.12830188679245286</v>
      </c>
      <c r="AM119" s="51">
        <f t="shared" si="284"/>
        <v>1.4627737226277371</v>
      </c>
      <c r="AN119" s="58">
        <f t="shared" si="285"/>
        <v>0.77372262773722633</v>
      </c>
      <c r="AO119" s="58">
        <f t="shared" si="286"/>
        <v>1.0007642027903971</v>
      </c>
      <c r="AP119" s="58">
        <f t="shared" si="287"/>
        <v>0.99923638076954957</v>
      </c>
      <c r="AQ119" s="58">
        <f t="shared" si="288"/>
        <v>0.27320478952773625</v>
      </c>
      <c r="AR119" s="51">
        <f t="shared" si="289"/>
        <v>1.0007642027903971</v>
      </c>
      <c r="AS119" s="59">
        <f t="shared" si="290"/>
        <v>943.52153778455522</v>
      </c>
      <c r="AT119" s="59">
        <f t="shared" si="291"/>
        <v>2048.5116678705822</v>
      </c>
      <c r="AU119" s="51">
        <f t="shared" si="292"/>
        <v>0.13233458177278404</v>
      </c>
      <c r="AV119" s="51">
        <f t="shared" si="293"/>
        <v>0.83746028794148175</v>
      </c>
      <c r="AX119" s="142">
        <v>170</v>
      </c>
      <c r="AY119" s="142">
        <v>1409</v>
      </c>
      <c r="AZ119" s="142">
        <v>2753</v>
      </c>
      <c r="BA119" s="142">
        <v>0.6</v>
      </c>
      <c r="BB119" s="142">
        <v>21</v>
      </c>
      <c r="BC119" s="142">
        <v>177</v>
      </c>
      <c r="BD119" s="142">
        <v>1070</v>
      </c>
      <c r="BE119" s="142">
        <v>75</v>
      </c>
      <c r="BF119" s="142">
        <v>470</v>
      </c>
      <c r="BG119" s="142">
        <v>110</v>
      </c>
      <c r="BH119" s="142">
        <v>90</v>
      </c>
      <c r="BI119" s="142">
        <v>9</v>
      </c>
      <c r="BJ119" s="142">
        <v>322</v>
      </c>
      <c r="BK119" s="142">
        <v>170</v>
      </c>
      <c r="BL119" s="142">
        <v>8.1</v>
      </c>
      <c r="BM119" s="142">
        <v>11.7</v>
      </c>
      <c r="BN119" s="142">
        <v>137</v>
      </c>
      <c r="BO119" s="142">
        <v>266</v>
      </c>
      <c r="BP119" s="142">
        <v>30</v>
      </c>
      <c r="BQ119" s="142">
        <v>106</v>
      </c>
      <c r="BR119" s="142">
        <v>13.8</v>
      </c>
      <c r="BS119" s="142">
        <v>3.39</v>
      </c>
      <c r="BT119" s="142">
        <v>6.8</v>
      </c>
      <c r="BU119" s="142">
        <v>0.7</v>
      </c>
      <c r="BV119" s="142">
        <v>3</v>
      </c>
      <c r="BW119" s="142">
        <v>0.4</v>
      </c>
      <c r="BX119" s="142">
        <v>0.9</v>
      </c>
      <c r="BY119" s="142">
        <v>0.12</v>
      </c>
      <c r="BZ119" s="142">
        <v>0.7</v>
      </c>
      <c r="CA119" s="142">
        <v>0.09</v>
      </c>
      <c r="CB119" s="142"/>
      <c r="CC119" s="142">
        <v>15</v>
      </c>
      <c r="CD119" s="142">
        <v>3.9</v>
      </c>
      <c r="CE119" s="142">
        <v>14</v>
      </c>
      <c r="CG119" s="61">
        <f t="shared" si="294"/>
        <v>566.11570247933889</v>
      </c>
      <c r="CH119" s="61">
        <f t="shared" si="295"/>
        <v>418.89763779527556</v>
      </c>
      <c r="CI119" s="61">
        <f t="shared" si="296"/>
        <v>311.52647975077883</v>
      </c>
      <c r="CJ119" s="61">
        <f t="shared" si="297"/>
        <v>220.83333333333334</v>
      </c>
      <c r="CK119" s="61">
        <f t="shared" si="298"/>
        <v>88.461538461538467</v>
      </c>
      <c r="CL119" s="61">
        <f t="shared" si="299"/>
        <v>57.360406091370564</v>
      </c>
      <c r="CM119" s="61">
        <f t="shared" si="300"/>
        <v>32.075471698113205</v>
      </c>
      <c r="CN119" s="61">
        <f t="shared" si="301"/>
        <v>18.617021276595743</v>
      </c>
      <c r="CO119" s="61">
        <f t="shared" si="302"/>
        <v>11.583011583011583</v>
      </c>
      <c r="CP119" s="61">
        <f t="shared" si="303"/>
        <v>6.8376068376068373</v>
      </c>
      <c r="CQ119" s="61">
        <f t="shared" si="304"/>
        <v>5.5214723926380369</v>
      </c>
      <c r="CR119" s="61">
        <f t="shared" si="305"/>
        <v>4.6875</v>
      </c>
      <c r="CS119" s="61">
        <f t="shared" si="306"/>
        <v>4.2168674698795172</v>
      </c>
      <c r="CT119" s="61">
        <f t="shared" si="307"/>
        <v>3.5999999999999996</v>
      </c>
      <c r="CU119" s="60">
        <f t="shared" si="308"/>
        <v>16.194117647058825</v>
      </c>
      <c r="CV119" s="60">
        <f t="shared" si="309"/>
        <v>20.094890510948904</v>
      </c>
      <c r="CW119" s="60">
        <f t="shared" si="310"/>
        <v>0.80588235294117649</v>
      </c>
      <c r="CX119" s="59">
        <f t="shared" si="311"/>
        <v>194.06167647058822</v>
      </c>
      <c r="CY119" s="60"/>
      <c r="CZ119" s="60">
        <f t="shared" si="312"/>
        <v>43.589743589743591</v>
      </c>
      <c r="DA119" s="60">
        <f t="shared" si="313"/>
        <v>12.318840579710145</v>
      </c>
      <c r="DB119" s="60">
        <f t="shared" si="274"/>
        <v>1.8941176470588235</v>
      </c>
      <c r="DC119" s="61">
        <f t="shared" si="314"/>
        <v>183.53333333333333</v>
      </c>
      <c r="DD119" s="60">
        <f t="shared" si="315"/>
        <v>1.2820512820512822</v>
      </c>
      <c r="DE119" s="60">
        <f t="shared" si="316"/>
        <v>16.714285714285715</v>
      </c>
      <c r="DF119" s="60">
        <f t="shared" si="317"/>
        <v>21.428571428571431</v>
      </c>
      <c r="DG119" s="51">
        <f t="shared" si="318"/>
        <v>18.888888888888889</v>
      </c>
      <c r="DH119" s="59">
        <f t="shared" si="319"/>
        <v>321.17226277372259</v>
      </c>
      <c r="DI119" s="51">
        <f t="shared" si="320"/>
        <v>1.6073454681383887</v>
      </c>
      <c r="DJ119" s="60">
        <f t="shared" si="321"/>
        <v>1522.2222222222222</v>
      </c>
      <c r="DK119" s="60">
        <f t="shared" si="322"/>
        <v>157.25436179981637</v>
      </c>
      <c r="DL119" s="61">
        <f t="shared" si="323"/>
        <v>6.3995688106360049</v>
      </c>
      <c r="DM119" s="60">
        <f t="shared" si="324"/>
        <v>195.71428571428572</v>
      </c>
      <c r="DN119" s="61">
        <f t="shared" si="325"/>
        <v>19.714285714285715</v>
      </c>
      <c r="DO119" s="61">
        <f t="shared" si="326"/>
        <v>7.6415094339622638E-2</v>
      </c>
      <c r="DP119" s="59">
        <f t="shared" si="327"/>
        <v>2012.8571428571429</v>
      </c>
      <c r="DQ119" s="60">
        <f t="shared" si="328"/>
        <v>13.29245283018868</v>
      </c>
      <c r="DR119" s="60">
        <f t="shared" si="329"/>
        <v>32.687686288241885</v>
      </c>
      <c r="DS119" s="51">
        <f t="shared" si="330"/>
        <v>1.0627746007053114</v>
      </c>
      <c r="DT119" s="62">
        <f t="shared" si="247"/>
        <v>7.0972320794889996E-4</v>
      </c>
      <c r="DU119" s="60">
        <f t="shared" si="331"/>
        <v>35.777777777777779</v>
      </c>
      <c r="DV119" s="60">
        <f t="shared" si="332"/>
        <v>14.529914529914532</v>
      </c>
      <c r="DW119" s="60">
        <f t="shared" si="333"/>
        <v>3.3268756406457545E-2</v>
      </c>
      <c r="DX119" s="60">
        <f t="shared" si="275"/>
        <v>52.795031055900623</v>
      </c>
      <c r="DY119" s="60">
        <f t="shared" si="334"/>
        <v>4.658385093167702</v>
      </c>
      <c r="DZ119" s="51">
        <f t="shared" si="335"/>
        <v>0.74278530850720459</v>
      </c>
      <c r="EA119" s="63">
        <f t="shared" si="340"/>
        <v>4.3795620437956199E-3</v>
      </c>
      <c r="EB119" s="58">
        <f t="shared" si="336"/>
        <v>8.8235294117647065E-2</v>
      </c>
      <c r="EC119" s="58">
        <f t="shared" si="337"/>
        <v>0</v>
      </c>
      <c r="EE119" s="51">
        <f t="shared" si="338"/>
        <v>41.832045122205969</v>
      </c>
      <c r="EF119" s="51">
        <f t="shared" si="338"/>
        <v>5.747858784207228</v>
      </c>
      <c r="EG119" s="51">
        <f t="shared" si="338"/>
        <v>7.1547942343847923</v>
      </c>
      <c r="EH119" s="51">
        <f t="shared" si="338"/>
        <v>12.18926258617088</v>
      </c>
      <c r="EI119" s="51">
        <f t="shared" si="338"/>
        <v>0.16398579486108211</v>
      </c>
      <c r="EJ119" s="51">
        <f t="shared" si="338"/>
        <v>15.886776686860248</v>
      </c>
      <c r="EK119" s="51">
        <f t="shared" si="338"/>
        <v>10.465844996866513</v>
      </c>
      <c r="EL119" s="51">
        <f t="shared" si="338"/>
        <v>0.71025694589513266</v>
      </c>
      <c r="EM119" s="51">
        <f t="shared" si="338"/>
        <v>5.535826195947358</v>
      </c>
      <c r="EN119" s="51">
        <f t="shared" si="338"/>
        <v>0.31334865260079381</v>
      </c>
      <c r="EO119" s="51">
        <f t="shared" si="339"/>
        <v>99.999999999999986</v>
      </c>
    </row>
    <row r="120" spans="1:145" s="48" customFormat="1">
      <c r="A120" s="139">
        <v>109</v>
      </c>
      <c r="B120" s="48" t="s">
        <v>265</v>
      </c>
      <c r="C120" s="48">
        <v>7</v>
      </c>
      <c r="D120" s="140" t="s">
        <v>1</v>
      </c>
      <c r="E120" s="48" t="s">
        <v>0</v>
      </c>
      <c r="G120" s="141">
        <v>40.049999999999997</v>
      </c>
      <c r="H120" s="141">
        <v>3.5470000000000002</v>
      </c>
      <c r="I120" s="141">
        <v>8.6999999999999993</v>
      </c>
      <c r="J120" s="141">
        <v>10.62</v>
      </c>
      <c r="K120" s="141">
        <v>0.17299999999999999</v>
      </c>
      <c r="L120" s="141">
        <v>6.08</v>
      </c>
      <c r="M120" s="141">
        <v>12.18</v>
      </c>
      <c r="N120" s="141">
        <v>1.46</v>
      </c>
      <c r="O120" s="141">
        <v>2.59</v>
      </c>
      <c r="P120" s="141">
        <v>0.94</v>
      </c>
      <c r="Q120" s="141">
        <v>13.79</v>
      </c>
      <c r="R120" s="141">
        <v>6.73</v>
      </c>
      <c r="S120" s="52">
        <f t="shared" si="276"/>
        <v>100.13</v>
      </c>
      <c r="U120" s="54"/>
      <c r="AF120" s="19">
        <f t="shared" si="277"/>
        <v>0.57159174778212796</v>
      </c>
      <c r="AG120" s="59">
        <f t="shared" si="278"/>
        <v>21264.264999999999</v>
      </c>
      <c r="AH120" s="59">
        <f t="shared" si="279"/>
        <v>21502.18</v>
      </c>
      <c r="AI120" s="59">
        <f t="shared" si="280"/>
        <v>4102.16</v>
      </c>
      <c r="AJ120" s="51">
        <f t="shared" si="281"/>
        <v>4.05</v>
      </c>
      <c r="AK120" s="51">
        <f t="shared" si="282"/>
        <v>1.773972602739726</v>
      </c>
      <c r="AL120" s="51">
        <f t="shared" si="283"/>
        <v>0.56370656370656369</v>
      </c>
      <c r="AM120" s="51">
        <f t="shared" si="284"/>
        <v>1.4</v>
      </c>
      <c r="AN120" s="58">
        <f t="shared" si="285"/>
        <v>0.29770114942528736</v>
      </c>
      <c r="AO120" s="58">
        <f t="shared" si="286"/>
        <v>0.59829047395392698</v>
      </c>
      <c r="AP120" s="58">
        <f t="shared" si="287"/>
        <v>1.6714289187847036</v>
      </c>
      <c r="AQ120" s="58">
        <f t="shared" si="288"/>
        <v>0.31810114079187901</v>
      </c>
      <c r="AR120" s="51">
        <f t="shared" si="289"/>
        <v>0.59829047395392698</v>
      </c>
      <c r="AS120" s="59">
        <f t="shared" si="290"/>
        <v>1530.5800228072935</v>
      </c>
      <c r="AT120" s="59">
        <f t="shared" si="291"/>
        <v>2056.4402424627469</v>
      </c>
      <c r="AU120" s="51">
        <f t="shared" si="292"/>
        <v>6.4669163545568037E-2</v>
      </c>
      <c r="AV120" s="51">
        <f t="shared" si="293"/>
        <v>0.32222515069429192</v>
      </c>
      <c r="AX120" s="142">
        <v>98</v>
      </c>
      <c r="AY120" s="142">
        <v>2410</v>
      </c>
      <c r="AZ120" s="142">
        <v>1231</v>
      </c>
      <c r="BA120" s="142">
        <v>1.2</v>
      </c>
      <c r="BB120" s="142">
        <v>18</v>
      </c>
      <c r="BC120" s="142">
        <v>280</v>
      </c>
      <c r="BD120" s="142">
        <v>170</v>
      </c>
      <c r="BE120" s="142">
        <v>34</v>
      </c>
      <c r="BF120" s="142"/>
      <c r="BG120" s="142">
        <v>100</v>
      </c>
      <c r="BH120" s="142">
        <v>100</v>
      </c>
      <c r="BI120" s="142">
        <v>21</v>
      </c>
      <c r="BJ120" s="142">
        <v>378</v>
      </c>
      <c r="BK120" s="142">
        <v>176</v>
      </c>
      <c r="BL120" s="142">
        <v>8.6</v>
      </c>
      <c r="BM120" s="142">
        <v>10.8</v>
      </c>
      <c r="BN120" s="142">
        <v>154</v>
      </c>
      <c r="BO120" s="142">
        <v>307</v>
      </c>
      <c r="BP120" s="142">
        <v>35.299999999999997</v>
      </c>
      <c r="BQ120" s="142">
        <v>123</v>
      </c>
      <c r="BR120" s="142">
        <v>16.8</v>
      </c>
      <c r="BS120" s="142">
        <v>4</v>
      </c>
      <c r="BT120" s="142">
        <v>9.3000000000000007</v>
      </c>
      <c r="BU120" s="142">
        <v>1.1000000000000001</v>
      </c>
      <c r="BV120" s="142">
        <v>5.3</v>
      </c>
      <c r="BW120" s="142">
        <v>0.9</v>
      </c>
      <c r="BX120" s="142">
        <v>2.2000000000000002</v>
      </c>
      <c r="BY120" s="142">
        <v>0.28999999999999998</v>
      </c>
      <c r="BZ120" s="142">
        <v>1.7</v>
      </c>
      <c r="CA120" s="142">
        <v>0.28000000000000003</v>
      </c>
      <c r="CB120" s="142">
        <v>11</v>
      </c>
      <c r="CC120" s="142">
        <v>21</v>
      </c>
      <c r="CD120" s="142">
        <v>4.4000000000000004</v>
      </c>
      <c r="CE120" s="142">
        <v>19</v>
      </c>
      <c r="CG120" s="61">
        <f t="shared" si="294"/>
        <v>636.36363636363637</v>
      </c>
      <c r="CH120" s="61">
        <f t="shared" si="295"/>
        <v>483.46456692913387</v>
      </c>
      <c r="CI120" s="61">
        <f t="shared" si="296"/>
        <v>366.56282450674973</v>
      </c>
      <c r="CJ120" s="61">
        <f t="shared" si="297"/>
        <v>256.25</v>
      </c>
      <c r="CK120" s="61">
        <f t="shared" si="298"/>
        <v>107.69230769230769</v>
      </c>
      <c r="CL120" s="61">
        <f t="shared" si="299"/>
        <v>67.681895093062607</v>
      </c>
      <c r="CM120" s="61">
        <f t="shared" si="300"/>
        <v>43.867924528301891</v>
      </c>
      <c r="CN120" s="61">
        <f t="shared" si="301"/>
        <v>29.25531914893617</v>
      </c>
      <c r="CO120" s="61">
        <f t="shared" si="302"/>
        <v>20.463320463320461</v>
      </c>
      <c r="CP120" s="61">
        <f t="shared" si="303"/>
        <v>15.384615384615383</v>
      </c>
      <c r="CQ120" s="61">
        <f t="shared" si="304"/>
        <v>13.496932515337424</v>
      </c>
      <c r="CR120" s="61">
        <f t="shared" si="305"/>
        <v>11.328124999999998</v>
      </c>
      <c r="CS120" s="61">
        <f t="shared" si="306"/>
        <v>10.240963855421686</v>
      </c>
      <c r="CT120" s="61">
        <f t="shared" si="307"/>
        <v>11.200000000000001</v>
      </c>
      <c r="CU120" s="60">
        <f t="shared" si="308"/>
        <v>6.9943181818181817</v>
      </c>
      <c r="CV120" s="60">
        <f t="shared" si="309"/>
        <v>7.9935064935064934</v>
      </c>
      <c r="CW120" s="60">
        <f t="shared" si="310"/>
        <v>0.875</v>
      </c>
      <c r="CX120" s="59">
        <f t="shared" si="311"/>
        <v>120.8196875</v>
      </c>
      <c r="CY120" s="60">
        <f>BO120/CB120</f>
        <v>27.90909090909091</v>
      </c>
      <c r="CZ120" s="60">
        <f t="shared" si="312"/>
        <v>40</v>
      </c>
      <c r="DA120" s="60">
        <f t="shared" si="313"/>
        <v>5.833333333333333</v>
      </c>
      <c r="DB120" s="60">
        <f t="shared" si="274"/>
        <v>2.1477272727272729</v>
      </c>
      <c r="DC120" s="61">
        <f t="shared" si="314"/>
        <v>58.61904761904762</v>
      </c>
      <c r="DD120" s="60">
        <f t="shared" si="315"/>
        <v>1.9444444444444444</v>
      </c>
      <c r="DE120" s="60">
        <f t="shared" si="316"/>
        <v>6.3529411764705888</v>
      </c>
      <c r="DF120" s="60">
        <f t="shared" si="317"/>
        <v>12.352941176470589</v>
      </c>
      <c r="DG120" s="51">
        <f t="shared" si="318"/>
        <v>8.3809523809523814</v>
      </c>
      <c r="DH120" s="59">
        <f t="shared" si="319"/>
        <v>139.62454545454545</v>
      </c>
      <c r="DI120" s="51">
        <f t="shared" si="320"/>
        <v>2.2411297182373806</v>
      </c>
      <c r="DJ120" s="60">
        <f t="shared" si="321"/>
        <v>550</v>
      </c>
      <c r="DK120" s="60">
        <f t="shared" si="322"/>
        <v>56.818181818181813</v>
      </c>
      <c r="DL120" s="61">
        <f t="shared" si="323"/>
        <v>5.9090909090909092</v>
      </c>
      <c r="DM120" s="60">
        <f t="shared" si="324"/>
        <v>90.588235294117652</v>
      </c>
      <c r="DN120" s="61">
        <f t="shared" si="325"/>
        <v>9.882352941176471</v>
      </c>
      <c r="DO120" s="61">
        <f t="shared" si="326"/>
        <v>6.9918699186991867E-2</v>
      </c>
      <c r="DP120" s="59">
        <f t="shared" si="327"/>
        <v>1417.6470588235295</v>
      </c>
      <c r="DQ120" s="60">
        <f t="shared" si="328"/>
        <v>19.59349593495935</v>
      </c>
      <c r="DR120" s="60">
        <f t="shared" si="329"/>
        <v>43.329942743696797</v>
      </c>
      <c r="DS120" s="51">
        <f t="shared" si="330"/>
        <v>0.97185023536383985</v>
      </c>
      <c r="DT120" s="62">
        <f t="shared" si="247"/>
        <v>4.1493775933609957E-4</v>
      </c>
      <c r="DU120" s="60">
        <f t="shared" si="331"/>
        <v>18</v>
      </c>
      <c r="DV120" s="60">
        <f t="shared" si="332"/>
        <v>16.296296296296294</v>
      </c>
      <c r="DW120" s="60">
        <f t="shared" si="333"/>
        <v>0.25317016328188302</v>
      </c>
      <c r="DX120" s="60">
        <f t="shared" si="275"/>
        <v>46.560846560846564</v>
      </c>
      <c r="DY120" s="60">
        <f t="shared" si="334"/>
        <v>5.5555555555555554</v>
      </c>
      <c r="DZ120" s="51">
        <f t="shared" si="335"/>
        <v>0.58535347564439344</v>
      </c>
      <c r="EA120" s="63">
        <f t="shared" si="340"/>
        <v>7.7922077922077922E-3</v>
      </c>
      <c r="EB120" s="58">
        <f t="shared" si="336"/>
        <v>0.11931818181818182</v>
      </c>
      <c r="EC120" s="58">
        <f t="shared" si="337"/>
        <v>0.18145697173880238</v>
      </c>
      <c r="EE120" s="51">
        <f t="shared" si="338"/>
        <v>46.386379430159835</v>
      </c>
      <c r="EF120" s="51">
        <f t="shared" si="338"/>
        <v>4.1081769747509851</v>
      </c>
      <c r="EG120" s="51">
        <f t="shared" si="338"/>
        <v>10.076441973592773</v>
      </c>
      <c r="EH120" s="51">
        <f t="shared" si="338"/>
        <v>12.3002084781098</v>
      </c>
      <c r="EI120" s="51">
        <f t="shared" si="338"/>
        <v>0.20037062775075282</v>
      </c>
      <c r="EJ120" s="51">
        <f t="shared" si="338"/>
        <v>7.0419272643039159</v>
      </c>
      <c r="EK120" s="51">
        <f t="shared" si="338"/>
        <v>14.107018763029883</v>
      </c>
      <c r="EL120" s="51">
        <f t="shared" si="338"/>
        <v>1.6909891128098218</v>
      </c>
      <c r="EM120" s="51">
        <f t="shared" si="338"/>
        <v>2.9997683576557796</v>
      </c>
      <c r="EN120" s="51">
        <f t="shared" si="338"/>
        <v>1.0887190178364607</v>
      </c>
      <c r="EO120" s="51">
        <f t="shared" si="339"/>
        <v>100.00000000000001</v>
      </c>
    </row>
    <row r="121" spans="1:145" s="48" customFormat="1">
      <c r="A121" s="143"/>
      <c r="D121" s="144"/>
      <c r="U121" s="54"/>
      <c r="Y121" s="54"/>
      <c r="AO121" s="19"/>
      <c r="AP121" s="19"/>
      <c r="AQ121" s="19"/>
      <c r="AU121" s="51"/>
      <c r="AV121" s="51"/>
      <c r="BA121" s="60"/>
      <c r="BD121" s="59"/>
      <c r="CM121" s="22"/>
    </row>
    <row r="122" spans="1:145" s="48" customFormat="1">
      <c r="A122" s="143"/>
      <c r="D122" s="144"/>
      <c r="U122" s="54"/>
      <c r="Y122" s="54"/>
      <c r="AO122" s="19"/>
      <c r="AP122" s="19"/>
      <c r="AQ122" s="19"/>
      <c r="AU122" s="51"/>
      <c r="AV122" s="51"/>
      <c r="BA122" s="60"/>
      <c r="BD122" s="59"/>
    </row>
    <row r="123" spans="1:145" s="48" customFormat="1">
      <c r="A123" s="143"/>
      <c r="D123" s="144"/>
      <c r="U123" s="54"/>
      <c r="W123" s="54"/>
      <c r="Y123" s="54"/>
      <c r="AO123" s="19"/>
      <c r="AP123" s="19"/>
      <c r="AQ123" s="19"/>
      <c r="AU123" s="51"/>
      <c r="AV123" s="51"/>
      <c r="BA123" s="60"/>
      <c r="BD123" s="59"/>
    </row>
    <row r="124" spans="1:145" s="48" customFormat="1">
      <c r="A124" s="143"/>
      <c r="D124" s="144"/>
      <c r="U124" s="54"/>
      <c r="Y124" s="54"/>
      <c r="AO124" s="19"/>
      <c r="AP124" s="19"/>
      <c r="AQ124" s="19"/>
      <c r="AU124" s="51"/>
      <c r="AV124" s="51"/>
      <c r="BA124" s="60"/>
      <c r="BD124" s="59"/>
    </row>
    <row r="125" spans="1:145" s="48" customFormat="1">
      <c r="A125" s="143"/>
      <c r="D125" s="144"/>
      <c r="U125" s="54"/>
      <c r="Y125" s="54"/>
      <c r="AO125" s="19"/>
      <c r="AP125" s="19"/>
      <c r="AQ125" s="19"/>
      <c r="AU125" s="51"/>
      <c r="AV125" s="51"/>
      <c r="BA125" s="60"/>
      <c r="BD125" s="59"/>
    </row>
    <row r="126" spans="1:145">
      <c r="AO126" s="19"/>
      <c r="AP126" s="19"/>
      <c r="AQ126" s="19"/>
    </row>
    <row r="127" spans="1:145">
      <c r="AO127" s="19"/>
      <c r="AP127" s="19"/>
      <c r="AQ127" s="19"/>
    </row>
    <row r="128" spans="1:145">
      <c r="A128" s="143"/>
      <c r="AO128" s="19"/>
      <c r="AP128" s="19"/>
      <c r="AQ128" s="19"/>
    </row>
    <row r="129" spans="1:43">
      <c r="A129" s="143"/>
      <c r="AO129" s="19"/>
      <c r="AP129" s="19"/>
      <c r="AQ129" s="19"/>
    </row>
    <row r="130" spans="1:43">
      <c r="A130" s="143"/>
      <c r="AO130" s="19"/>
      <c r="AP130" s="19"/>
      <c r="AQ130" s="19"/>
    </row>
    <row r="131" spans="1:43">
      <c r="A131" s="143"/>
      <c r="AO131" s="19"/>
      <c r="AP131" s="19"/>
      <c r="AQ131" s="19"/>
    </row>
    <row r="132" spans="1:43">
      <c r="A132" s="143"/>
      <c r="AO132" s="19"/>
      <c r="AP132" s="19"/>
      <c r="AQ132" s="19"/>
    </row>
    <row r="133" spans="1:43">
      <c r="A133" s="143"/>
      <c r="AO133" s="19"/>
      <c r="AP133" s="19"/>
      <c r="AQ133" s="19"/>
    </row>
    <row r="134" spans="1:43">
      <c r="A134" s="143"/>
      <c r="AO134" s="19"/>
      <c r="AP134" s="19"/>
      <c r="AQ134" s="19"/>
    </row>
    <row r="135" spans="1:43">
      <c r="AO135" s="19"/>
      <c r="AP135" s="19"/>
      <c r="AQ135" s="19"/>
    </row>
    <row r="136" spans="1:43">
      <c r="AO136" s="19"/>
      <c r="AP136" s="19"/>
      <c r="AQ136" s="19"/>
    </row>
    <row r="137" spans="1:43">
      <c r="AO137" s="19"/>
      <c r="AP137" s="19"/>
      <c r="AQ137" s="19"/>
    </row>
    <row r="138" spans="1:43">
      <c r="AO138" s="19"/>
      <c r="AP138" s="19"/>
      <c r="AQ138" s="19"/>
    </row>
    <row r="139" spans="1:43">
      <c r="AO139" s="19"/>
      <c r="AP139" s="19"/>
      <c r="AQ139" s="19"/>
    </row>
    <row r="140" spans="1:43">
      <c r="AO140" s="19"/>
      <c r="AP140" s="19"/>
      <c r="AQ140" s="19"/>
    </row>
    <row r="141" spans="1:43">
      <c r="AO141" s="19"/>
      <c r="AP141" s="19"/>
      <c r="AQ141" s="19"/>
    </row>
    <row r="142" spans="1:43">
      <c r="AO142" s="19"/>
      <c r="AP142" s="19"/>
      <c r="AQ142" s="19"/>
    </row>
    <row r="143" spans="1:43">
      <c r="AO143" s="19"/>
      <c r="AP143" s="19"/>
      <c r="AQ143" s="19"/>
    </row>
    <row r="144" spans="1:43">
      <c r="AO144" s="19"/>
      <c r="AP144" s="19"/>
      <c r="AQ144" s="19"/>
    </row>
    <row r="145" spans="41:43">
      <c r="AO145" s="19"/>
      <c r="AP145" s="19"/>
      <c r="AQ145" s="19"/>
    </row>
    <row r="146" spans="41:43">
      <c r="AO146" s="19"/>
      <c r="AP146" s="19"/>
      <c r="AQ146" s="19"/>
    </row>
    <row r="147" spans="41:43">
      <c r="AO147" s="19"/>
      <c r="AP147" s="19"/>
      <c r="AQ147" s="19"/>
    </row>
    <row r="148" spans="41:43">
      <c r="AO148" s="19"/>
      <c r="AP148" s="19"/>
      <c r="AQ148" s="19"/>
    </row>
    <row r="149" spans="41:43">
      <c r="AO149" s="19"/>
      <c r="AP149" s="19"/>
      <c r="AQ149" s="19"/>
    </row>
    <row r="150" spans="41:43">
      <c r="AO150" s="19"/>
      <c r="AP150" s="19"/>
      <c r="AQ150" s="19"/>
    </row>
    <row r="151" spans="41:43">
      <c r="AO151" s="19"/>
      <c r="AP151" s="19"/>
      <c r="AQ151" s="19"/>
    </row>
    <row r="152" spans="41:43">
      <c r="AO152" s="19"/>
      <c r="AP152" s="19"/>
      <c r="AQ152" s="19"/>
    </row>
    <row r="153" spans="41:43">
      <c r="AO153" s="19"/>
      <c r="AP153" s="19"/>
      <c r="AQ153" s="19"/>
    </row>
    <row r="154" spans="41:43">
      <c r="AO154" s="19"/>
      <c r="AP154" s="19"/>
      <c r="AQ154" s="19"/>
    </row>
    <row r="155" spans="41:43">
      <c r="AO155" s="19"/>
      <c r="AP155" s="19"/>
      <c r="AQ155" s="19"/>
    </row>
    <row r="156" spans="41:43">
      <c r="AO156" s="19"/>
      <c r="AP156" s="19"/>
      <c r="AQ156" s="19"/>
    </row>
    <row r="157" spans="41:43">
      <c r="AO157" s="19"/>
      <c r="AP157" s="19"/>
      <c r="AQ157" s="19"/>
    </row>
    <row r="158" spans="41:43">
      <c r="AO158" s="19"/>
      <c r="AP158" s="19"/>
      <c r="AQ158" s="19"/>
    </row>
    <row r="159" spans="41:43">
      <c r="AO159" s="19"/>
      <c r="AP159" s="19"/>
      <c r="AQ159" s="19"/>
    </row>
    <row r="160" spans="41:43">
      <c r="AO160" s="19"/>
      <c r="AP160" s="19"/>
      <c r="AQ160" s="19"/>
    </row>
    <row r="161" spans="41:43">
      <c r="AO161" s="19"/>
      <c r="AP161" s="19"/>
      <c r="AQ161" s="19"/>
    </row>
    <row r="162" spans="41:43">
      <c r="AO162" s="19"/>
      <c r="AP162" s="19"/>
      <c r="AQ162" s="19"/>
    </row>
    <row r="163" spans="41:43">
      <c r="AO163" s="19"/>
      <c r="AP163" s="19"/>
      <c r="AQ163" s="19"/>
    </row>
    <row r="164" spans="41:43">
      <c r="AO164" s="19"/>
      <c r="AP164" s="19"/>
      <c r="AQ164" s="19"/>
    </row>
    <row r="165" spans="41:43">
      <c r="AO165" s="19"/>
      <c r="AP165" s="19"/>
      <c r="AQ165" s="19"/>
    </row>
    <row r="166" spans="41:43">
      <c r="AO166" s="19"/>
      <c r="AP166" s="19"/>
      <c r="AQ166" s="19"/>
    </row>
    <row r="167" spans="41:43">
      <c r="AO167" s="19"/>
      <c r="AP167" s="19"/>
      <c r="AQ167" s="19"/>
    </row>
    <row r="168" spans="41:43">
      <c r="AO168" s="19"/>
      <c r="AP168" s="19"/>
      <c r="AQ168" s="19"/>
    </row>
    <row r="169" spans="41:43">
      <c r="AO169" s="19"/>
      <c r="AP169" s="19"/>
      <c r="AQ169" s="19"/>
    </row>
    <row r="170" spans="41:43">
      <c r="AO170" s="19"/>
      <c r="AP170" s="19"/>
      <c r="AQ170" s="19"/>
    </row>
    <row r="171" spans="41:43">
      <c r="AO171" s="19"/>
      <c r="AP171" s="19"/>
      <c r="AQ171" s="19"/>
    </row>
    <row r="172" spans="41:43">
      <c r="AO172" s="19"/>
      <c r="AP172" s="19"/>
      <c r="AQ172" s="19"/>
    </row>
    <row r="173" spans="41:43">
      <c r="AO173" s="19"/>
      <c r="AP173" s="19"/>
      <c r="AQ173" s="19"/>
    </row>
    <row r="174" spans="41:43">
      <c r="AO174" s="19"/>
      <c r="AP174" s="19"/>
      <c r="AQ174" s="19"/>
    </row>
    <row r="175" spans="41:43">
      <c r="AO175" s="19"/>
      <c r="AP175" s="19"/>
      <c r="AQ175" s="19"/>
    </row>
    <row r="176" spans="41:43">
      <c r="AO176" s="19"/>
      <c r="AP176" s="19"/>
      <c r="AQ176" s="19"/>
    </row>
    <row r="177" spans="41:43">
      <c r="AO177" s="19"/>
      <c r="AP177" s="19"/>
      <c r="AQ177" s="19"/>
    </row>
    <row r="178" spans="41:43">
      <c r="AO178" s="19"/>
      <c r="AP178" s="19"/>
      <c r="AQ178" s="19"/>
    </row>
    <row r="179" spans="41:43">
      <c r="AO179" s="19"/>
      <c r="AP179" s="19"/>
      <c r="AQ179" s="19"/>
    </row>
    <row r="180" spans="41:43">
      <c r="AO180" s="19"/>
      <c r="AP180" s="19"/>
      <c r="AQ180" s="19"/>
    </row>
    <row r="181" spans="41:43">
      <c r="AO181" s="19"/>
      <c r="AP181" s="19"/>
      <c r="AQ181" s="19"/>
    </row>
    <row r="182" spans="41:43">
      <c r="AO182" s="19"/>
      <c r="AP182" s="19"/>
      <c r="AQ182" s="19"/>
    </row>
    <row r="183" spans="41:43">
      <c r="AO183" s="19"/>
      <c r="AP183" s="19"/>
      <c r="AQ183" s="19"/>
    </row>
    <row r="184" spans="41:43">
      <c r="AO184" s="19"/>
      <c r="AP184" s="19"/>
      <c r="AQ184" s="19"/>
    </row>
    <row r="185" spans="41:43">
      <c r="AO185" s="19"/>
      <c r="AP185" s="19"/>
      <c r="AQ185" s="19"/>
    </row>
    <row r="186" spans="41:43">
      <c r="AO186" s="19"/>
      <c r="AP186" s="19"/>
      <c r="AQ186" s="19"/>
    </row>
    <row r="187" spans="41:43">
      <c r="AO187" s="19"/>
      <c r="AP187" s="19"/>
      <c r="AQ187" s="19"/>
    </row>
    <row r="188" spans="41:43">
      <c r="AO188" s="19"/>
      <c r="AP188" s="19"/>
      <c r="AQ188" s="19"/>
    </row>
  </sheetData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429959-D876-4704-B65D-41FA8BBFAB2A}">
  <dimension ref="A1:EO136"/>
  <sheetViews>
    <sheetView zoomScaleNormal="100" workbookViewId="0">
      <pane xSplit="2" ySplit="4" topLeftCell="C5" activePane="bottomRight" state="frozen"/>
      <selection pane="topRight" activeCell="C1" sqref="C1"/>
      <selection pane="bottomLeft" activeCell="A2" sqref="A2"/>
      <selection pane="bottomRight" activeCell="E16" sqref="E16"/>
    </sheetView>
  </sheetViews>
  <sheetFormatPr baseColWidth="10" defaultColWidth="9.1640625" defaultRowHeight="15"/>
  <cols>
    <col min="1" max="1" width="12.6640625" style="1" bestFit="1" customWidth="1"/>
    <col min="2" max="2" width="8.1640625" style="1" bestFit="1" customWidth="1"/>
    <col min="3" max="3" width="25.83203125" style="1" bestFit="1" customWidth="1"/>
    <col min="4" max="4" width="12.1640625" style="1" bestFit="1" customWidth="1"/>
    <col min="5" max="5" width="28.33203125" style="1" bestFit="1" customWidth="1"/>
    <col min="6" max="6" width="6.1640625" style="2" bestFit="1" customWidth="1"/>
    <col min="7" max="7" width="5.6640625" style="1" bestFit="1" customWidth="1"/>
    <col min="8" max="8" width="5.1640625" style="1" bestFit="1" customWidth="1"/>
    <col min="9" max="10" width="5.6640625" style="1" bestFit="1" customWidth="1"/>
    <col min="11" max="11" width="4.6640625" style="1" bestFit="1" customWidth="1"/>
    <col min="12" max="13" width="5.6640625" style="1" bestFit="1" customWidth="1"/>
    <col min="14" max="14" width="5" style="1" bestFit="1" customWidth="1"/>
    <col min="15" max="16" width="4.6640625" style="1" bestFit="1" customWidth="1"/>
    <col min="17" max="17" width="5.1640625" style="1" bestFit="1" customWidth="1"/>
    <col min="18" max="18" width="5.6640625" style="1" bestFit="1" customWidth="1"/>
    <col min="19" max="19" width="6.6640625" style="1" bestFit="1" customWidth="1"/>
    <col min="20" max="20" width="8.5" style="1" bestFit="1" customWidth="1"/>
    <col min="21" max="21" width="8.6640625" style="1" bestFit="1" customWidth="1"/>
    <col min="22" max="22" width="10.1640625" style="1" bestFit="1" customWidth="1"/>
    <col min="23" max="27" width="9.83203125" style="1" bestFit="1" customWidth="1"/>
    <col min="28" max="29" width="6.6640625" style="1" bestFit="1" customWidth="1"/>
    <col min="30" max="30" width="5.1640625" style="1" bestFit="1" customWidth="1"/>
    <col min="31" max="31" width="2.33203125" style="1" customWidth="1"/>
    <col min="32" max="32" width="4.6640625" style="1" bestFit="1" customWidth="1"/>
    <col min="33" max="35" width="6.1640625" style="1" bestFit="1" customWidth="1"/>
    <col min="36" max="36" width="8.83203125" style="1" bestFit="1" customWidth="1"/>
    <col min="37" max="38" width="8.5" style="1" bestFit="1" customWidth="1"/>
    <col min="39" max="39" width="9" style="1" bestFit="1" customWidth="1"/>
    <col min="40" max="40" width="8.6640625" style="1" bestFit="1" customWidth="1"/>
    <col min="41" max="43" width="6.83203125" style="1" bestFit="1" customWidth="1"/>
    <col min="44" max="45" width="5.1640625" style="1" bestFit="1" customWidth="1"/>
    <col min="46" max="46" width="2.5" style="1" customWidth="1"/>
    <col min="47" max="47" width="8" style="1" bestFit="1" customWidth="1"/>
    <col min="48" max="48" width="6.83203125" style="1" bestFit="1" customWidth="1"/>
    <col min="49" max="49" width="2.33203125" style="1" customWidth="1"/>
    <col min="50" max="50" width="4.1640625" style="1" bestFit="1" customWidth="1"/>
    <col min="51" max="52" width="5.1640625" style="1" bestFit="1" customWidth="1"/>
    <col min="53" max="53" width="5.6640625" style="1" bestFit="1" customWidth="1"/>
    <col min="54" max="54" width="4.6640625" style="1" bestFit="1" customWidth="1"/>
    <col min="55" max="60" width="5.6640625" style="1" bestFit="1" customWidth="1"/>
    <col min="61" max="61" width="6.1640625" style="1" bestFit="1" customWidth="1"/>
    <col min="62" max="62" width="5.1640625" style="1" bestFit="1" customWidth="1"/>
    <col min="63" max="63" width="3.33203125" style="1" bestFit="1" customWidth="1"/>
    <col min="64" max="64" width="5.1640625" style="1" bestFit="1" customWidth="1"/>
    <col min="65" max="67" width="4.1640625" style="1" bestFit="1" customWidth="1"/>
    <col min="68" max="68" width="5.1640625" style="1" bestFit="1" customWidth="1"/>
    <col min="69" max="69" width="5.6640625" style="1" bestFit="1" customWidth="1"/>
    <col min="70" max="72" width="5.1640625" style="1" bestFit="1" customWidth="1"/>
    <col min="73" max="73" width="4.1640625" style="1" bestFit="1" customWidth="1"/>
    <col min="74" max="74" width="5.1640625" style="1" bestFit="1" customWidth="1"/>
    <col min="75" max="75" width="4.6640625" style="1" bestFit="1" customWidth="1"/>
    <col min="76" max="76" width="5.6640625" style="1" bestFit="1" customWidth="1"/>
    <col min="77" max="77" width="5.1640625" style="1" bestFit="1" customWidth="1"/>
    <col min="78" max="78" width="4.1640625" style="1" bestFit="1" customWidth="1"/>
    <col min="79" max="79" width="5.1640625" style="1" bestFit="1" customWidth="1"/>
    <col min="80" max="81" width="4.1640625" style="1" bestFit="1" customWidth="1"/>
    <col min="82" max="82" width="5.1640625" style="1" bestFit="1" customWidth="1"/>
    <col min="83" max="83" width="4.6640625" style="1" bestFit="1" customWidth="1"/>
    <col min="84" max="84" width="2.1640625" style="1" customWidth="1"/>
    <col min="85" max="85" width="6.6640625" style="1" bestFit="1" customWidth="1"/>
    <col min="86" max="92" width="5.6640625" style="1" bestFit="1" customWidth="1"/>
    <col min="93" max="98" width="4.6640625" style="1" bestFit="1" customWidth="1"/>
    <col min="99" max="99" width="5.83203125" style="1" bestFit="1" customWidth="1"/>
    <col min="100" max="100" width="5.33203125" style="1" bestFit="1" customWidth="1"/>
    <col min="101" max="101" width="5.6640625" style="1" bestFit="1" customWidth="1"/>
    <col min="102" max="102" width="5.33203125" style="1" bestFit="1" customWidth="1"/>
    <col min="103" max="103" width="6" style="1" bestFit="1" customWidth="1"/>
    <col min="104" max="104" width="5.1640625" style="1" bestFit="1" customWidth="1"/>
    <col min="105" max="105" width="6.33203125" style="1" bestFit="1" customWidth="1"/>
    <col min="106" max="106" width="5.5" style="1" bestFit="1" customWidth="1"/>
    <col min="107" max="107" width="6.83203125" style="1" bestFit="1" customWidth="1"/>
    <col min="108" max="108" width="5.33203125" style="1" bestFit="1" customWidth="1"/>
    <col min="109" max="109" width="5.5" style="1" bestFit="1" customWidth="1"/>
    <col min="110" max="110" width="5.6640625" style="1" bestFit="1" customWidth="1"/>
    <col min="111" max="111" width="5" style="1" bestFit="1" customWidth="1"/>
    <col min="112" max="112" width="5.1640625" style="1" bestFit="1" customWidth="1"/>
    <col min="113" max="113" width="7" style="1" bestFit="1" customWidth="1"/>
    <col min="114" max="114" width="5.6640625" style="1" bestFit="1" customWidth="1"/>
    <col min="115" max="115" width="7.5" style="1" bestFit="1" customWidth="1"/>
    <col min="116" max="116" width="7.83203125" style="1" bestFit="1" customWidth="1"/>
    <col min="117" max="118" width="5.6640625" style="1" bestFit="1" customWidth="1"/>
    <col min="119" max="119" width="6.83203125" style="1" bestFit="1" customWidth="1"/>
    <col min="120" max="120" width="5.5" style="1" bestFit="1" customWidth="1"/>
    <col min="121" max="121" width="5.6640625" style="1" bestFit="1" customWidth="1"/>
    <col min="122" max="122" width="6.33203125" style="1" bestFit="1" customWidth="1"/>
    <col min="123" max="124" width="6.6640625" style="1" bestFit="1" customWidth="1"/>
    <col min="125" max="125" width="4.6640625" style="1" bestFit="1" customWidth="1"/>
    <col min="126" max="126" width="5.6640625" style="1" bestFit="1" customWidth="1"/>
    <col min="127" max="127" width="4.5" style="1" bestFit="1" customWidth="1"/>
    <col min="128" max="128" width="9.33203125" style="1" bestFit="1" customWidth="1"/>
    <col min="129" max="129" width="9" style="1" bestFit="1" customWidth="1"/>
    <col min="130" max="130" width="10.5" style="1" bestFit="1" customWidth="1"/>
    <col min="131" max="131" width="6.6640625" style="1" bestFit="1" customWidth="1"/>
    <col min="132" max="132" width="6.83203125" style="1" bestFit="1" customWidth="1"/>
    <col min="133" max="133" width="6.6640625" style="1" bestFit="1" customWidth="1"/>
    <col min="134" max="134" width="11.1640625" style="1" customWidth="1"/>
    <col min="135" max="135" width="9" style="1" bestFit="1" customWidth="1"/>
    <col min="136" max="136" width="8.83203125" style="1" bestFit="1" customWidth="1"/>
    <col min="137" max="137" width="9.6640625" style="1" bestFit="1" customWidth="1"/>
    <col min="138" max="138" width="10" style="1" bestFit="1" customWidth="1"/>
    <col min="139" max="139" width="9.1640625" style="1" bestFit="1" customWidth="1"/>
    <col min="140" max="140" width="9" style="1" bestFit="1" customWidth="1"/>
    <col min="141" max="141" width="8.83203125" style="1" bestFit="1" customWidth="1"/>
    <col min="142" max="142" width="9.5" style="1" bestFit="1" customWidth="1"/>
    <col min="143" max="143" width="8.5" style="1" bestFit="1" customWidth="1"/>
    <col min="144" max="144" width="9.1640625" style="1" bestFit="1" customWidth="1"/>
    <col min="145" max="145" width="6.6640625" style="1" bestFit="1" customWidth="1"/>
    <col min="146" max="16384" width="9.1640625" style="1"/>
  </cols>
  <sheetData>
    <row r="1" spans="1:145">
      <c r="A1" s="1" t="s">
        <v>273</v>
      </c>
    </row>
    <row r="2" spans="1:145">
      <c r="A2" s="1" t="s">
        <v>274</v>
      </c>
    </row>
    <row r="3" spans="1:145">
      <c r="A3" s="1" t="s">
        <v>275</v>
      </c>
    </row>
    <row r="4" spans="1:145" s="3" customFormat="1" ht="19" thickBot="1">
      <c r="A4" s="3" t="s">
        <v>155</v>
      </c>
      <c r="B4" s="3" t="s">
        <v>153</v>
      </c>
      <c r="C4" s="3" t="s">
        <v>152</v>
      </c>
      <c r="D4" s="4" t="s">
        <v>154</v>
      </c>
      <c r="E4" s="3" t="s">
        <v>151</v>
      </c>
      <c r="F4" s="5" t="s">
        <v>150</v>
      </c>
      <c r="G4" s="4" t="s">
        <v>276</v>
      </c>
      <c r="H4" s="4" t="s">
        <v>277</v>
      </c>
      <c r="I4" s="4" t="s">
        <v>278</v>
      </c>
      <c r="J4" s="4" t="s">
        <v>279</v>
      </c>
      <c r="K4" s="4" t="s">
        <v>149</v>
      </c>
      <c r="L4" s="4" t="s">
        <v>148</v>
      </c>
      <c r="M4" s="4" t="s">
        <v>147</v>
      </c>
      <c r="N4" s="4" t="s">
        <v>280</v>
      </c>
      <c r="O4" s="4" t="s">
        <v>281</v>
      </c>
      <c r="P4" s="4" t="s">
        <v>282</v>
      </c>
      <c r="Q4" s="4" t="s">
        <v>146</v>
      </c>
      <c r="R4" s="4" t="s">
        <v>283</v>
      </c>
      <c r="S4" s="4" t="s">
        <v>145</v>
      </c>
      <c r="U4" s="6" t="s">
        <v>284</v>
      </c>
      <c r="V4" s="7" t="s">
        <v>285</v>
      </c>
      <c r="W4" s="4" t="s">
        <v>286</v>
      </c>
      <c r="X4" s="4" t="s">
        <v>287</v>
      </c>
      <c r="Y4" s="4" t="s">
        <v>288</v>
      </c>
      <c r="Z4" s="4" t="s">
        <v>289</v>
      </c>
      <c r="AA4" s="4" t="s">
        <v>290</v>
      </c>
      <c r="AB4" s="8" t="s">
        <v>291</v>
      </c>
      <c r="AC4" s="8" t="s">
        <v>292</v>
      </c>
      <c r="AD4" s="4" t="s">
        <v>293</v>
      </c>
      <c r="AE4" s="4"/>
      <c r="AF4" s="4" t="s">
        <v>144</v>
      </c>
      <c r="AG4" s="9" t="s">
        <v>143</v>
      </c>
      <c r="AH4" s="9" t="s">
        <v>142</v>
      </c>
      <c r="AI4" s="9" t="s">
        <v>141</v>
      </c>
      <c r="AJ4" s="4" t="s">
        <v>294</v>
      </c>
      <c r="AK4" s="4" t="s">
        <v>295</v>
      </c>
      <c r="AL4" s="4" t="s">
        <v>296</v>
      </c>
      <c r="AM4" s="4" t="s">
        <v>297</v>
      </c>
      <c r="AN4" s="4" t="s">
        <v>298</v>
      </c>
      <c r="AO4" s="4" t="s">
        <v>140</v>
      </c>
      <c r="AP4" s="4" t="s">
        <v>139</v>
      </c>
      <c r="AQ4" s="4" t="s">
        <v>138</v>
      </c>
      <c r="AR4" s="9" t="s">
        <v>136</v>
      </c>
      <c r="AS4" s="9" t="s">
        <v>135</v>
      </c>
      <c r="AT4" s="9"/>
      <c r="AU4" s="4" t="s">
        <v>299</v>
      </c>
      <c r="AV4" s="4" t="s">
        <v>134</v>
      </c>
      <c r="AW4" s="4"/>
      <c r="AX4" s="3" t="s">
        <v>133</v>
      </c>
      <c r="AY4" s="3" t="s">
        <v>132</v>
      </c>
      <c r="AZ4" s="3" t="s">
        <v>131</v>
      </c>
      <c r="BA4" s="3" t="s">
        <v>130</v>
      </c>
      <c r="BB4" s="3" t="s">
        <v>129</v>
      </c>
      <c r="BC4" s="3" t="s">
        <v>128</v>
      </c>
      <c r="BD4" s="3" t="s">
        <v>127</v>
      </c>
      <c r="BE4" s="3" t="s">
        <v>126</v>
      </c>
      <c r="BF4" s="3" t="s">
        <v>125</v>
      </c>
      <c r="BG4" s="3" t="s">
        <v>124</v>
      </c>
      <c r="BH4" s="3" t="s">
        <v>123</v>
      </c>
      <c r="BI4" s="3" t="s">
        <v>122</v>
      </c>
      <c r="BJ4" s="3" t="s">
        <v>121</v>
      </c>
      <c r="BK4" s="3" t="s">
        <v>120</v>
      </c>
      <c r="BL4" s="3" t="s">
        <v>119</v>
      </c>
      <c r="BM4" s="3" t="s">
        <v>118</v>
      </c>
      <c r="BN4" s="3" t="s">
        <v>117</v>
      </c>
      <c r="BO4" s="3" t="s">
        <v>116</v>
      </c>
      <c r="BP4" s="3" t="s">
        <v>115</v>
      </c>
      <c r="BQ4" s="3" t="s">
        <v>114</v>
      </c>
      <c r="BR4" s="3" t="s">
        <v>113</v>
      </c>
      <c r="BS4" s="3" t="s">
        <v>112</v>
      </c>
      <c r="BT4" s="3" t="s">
        <v>111</v>
      </c>
      <c r="BU4" s="3" t="s">
        <v>110</v>
      </c>
      <c r="BV4" s="3" t="s">
        <v>109</v>
      </c>
      <c r="BW4" s="3" t="s">
        <v>108</v>
      </c>
      <c r="BX4" s="3" t="s">
        <v>107</v>
      </c>
      <c r="BY4" s="3" t="s">
        <v>106</v>
      </c>
      <c r="BZ4" s="3" t="s">
        <v>105</v>
      </c>
      <c r="CA4" s="3" t="s">
        <v>104</v>
      </c>
      <c r="CB4" s="3" t="s">
        <v>103</v>
      </c>
      <c r="CC4" s="3" t="s">
        <v>102</v>
      </c>
      <c r="CD4" s="3" t="s">
        <v>101</v>
      </c>
      <c r="CE4" s="3" t="s">
        <v>100</v>
      </c>
      <c r="CG4" s="8" t="s">
        <v>300</v>
      </c>
      <c r="CH4" s="8" t="s">
        <v>301</v>
      </c>
      <c r="CI4" s="8" t="s">
        <v>302</v>
      </c>
      <c r="CJ4" s="8" t="s">
        <v>303</v>
      </c>
      <c r="CK4" s="8" t="s">
        <v>304</v>
      </c>
      <c r="CL4" s="8" t="s">
        <v>305</v>
      </c>
      <c r="CM4" s="8" t="s">
        <v>306</v>
      </c>
      <c r="CN4" s="8" t="s">
        <v>307</v>
      </c>
      <c r="CO4" s="8" t="s">
        <v>308</v>
      </c>
      <c r="CP4" s="8" t="s">
        <v>309</v>
      </c>
      <c r="CQ4" s="8" t="s">
        <v>310</v>
      </c>
      <c r="CR4" s="8" t="s">
        <v>311</v>
      </c>
      <c r="CS4" s="8" t="s">
        <v>312</v>
      </c>
      <c r="CT4" s="8" t="s">
        <v>313</v>
      </c>
      <c r="CU4" s="8" t="s">
        <v>99</v>
      </c>
      <c r="CV4" s="8" t="s">
        <v>98</v>
      </c>
      <c r="CW4" s="8" t="s">
        <v>97</v>
      </c>
      <c r="CX4" s="9" t="s">
        <v>96</v>
      </c>
      <c r="CY4" s="8" t="s">
        <v>95</v>
      </c>
      <c r="CZ4" s="8" t="s">
        <v>94</v>
      </c>
      <c r="DA4" s="8" t="s">
        <v>93</v>
      </c>
      <c r="DB4" s="8" t="s">
        <v>92</v>
      </c>
      <c r="DC4" s="8" t="s">
        <v>91</v>
      </c>
      <c r="DD4" s="8" t="s">
        <v>90</v>
      </c>
      <c r="DE4" s="8" t="s">
        <v>89</v>
      </c>
      <c r="DF4" s="8" t="s">
        <v>88</v>
      </c>
      <c r="DG4" s="4" t="s">
        <v>87</v>
      </c>
      <c r="DH4" s="9" t="s">
        <v>86</v>
      </c>
      <c r="DI4" s="8" t="s">
        <v>85</v>
      </c>
      <c r="DJ4" s="8" t="s">
        <v>84</v>
      </c>
      <c r="DK4" s="8" t="s">
        <v>83</v>
      </c>
      <c r="DL4" s="8" t="s">
        <v>314</v>
      </c>
      <c r="DM4" s="8" t="s">
        <v>82</v>
      </c>
      <c r="DN4" s="8" t="s">
        <v>80</v>
      </c>
      <c r="DO4" s="8" t="s">
        <v>81</v>
      </c>
      <c r="DP4" s="9" t="s">
        <v>79</v>
      </c>
      <c r="DQ4" s="8" t="s">
        <v>78</v>
      </c>
      <c r="DR4" s="8" t="s">
        <v>77</v>
      </c>
      <c r="DS4" s="4" t="s">
        <v>76</v>
      </c>
      <c r="DT4" s="10" t="s">
        <v>75</v>
      </c>
      <c r="DU4" s="8" t="s">
        <v>74</v>
      </c>
      <c r="DV4" s="8" t="s">
        <v>73</v>
      </c>
      <c r="DW4" s="8" t="s">
        <v>315</v>
      </c>
      <c r="DX4" s="8" t="s">
        <v>72</v>
      </c>
      <c r="DY4" s="8" t="s">
        <v>71</v>
      </c>
      <c r="DZ4" s="10" t="s">
        <v>70</v>
      </c>
      <c r="EA4" s="10" t="s">
        <v>69</v>
      </c>
      <c r="EB4" s="10" t="s">
        <v>68</v>
      </c>
      <c r="EC4" s="10" t="s">
        <v>67</v>
      </c>
      <c r="ED4" s="10"/>
      <c r="EE4" s="4" t="s">
        <v>316</v>
      </c>
      <c r="EF4" s="4" t="s">
        <v>317</v>
      </c>
      <c r="EG4" s="4" t="s">
        <v>318</v>
      </c>
      <c r="EH4" s="4" t="s">
        <v>319</v>
      </c>
      <c r="EI4" s="4" t="s">
        <v>320</v>
      </c>
      <c r="EJ4" s="4" t="s">
        <v>321</v>
      </c>
      <c r="EK4" s="4" t="s">
        <v>322</v>
      </c>
      <c r="EL4" s="4" t="s">
        <v>323</v>
      </c>
      <c r="EM4" s="4" t="s">
        <v>324</v>
      </c>
      <c r="EN4" s="4" t="s">
        <v>325</v>
      </c>
      <c r="EO4" s="4" t="s">
        <v>66</v>
      </c>
    </row>
    <row r="5" spans="1:145" s="36" customFormat="1" ht="16" thickTop="1">
      <c r="A5" s="1" t="s">
        <v>158</v>
      </c>
      <c r="B5" s="1">
        <v>6</v>
      </c>
      <c r="C5" s="36" t="s">
        <v>228</v>
      </c>
      <c r="D5" s="1" t="s">
        <v>204</v>
      </c>
      <c r="E5" s="36" t="s">
        <v>63</v>
      </c>
      <c r="F5" s="74"/>
      <c r="G5" s="19">
        <v>42.6</v>
      </c>
      <c r="H5" s="19">
        <v>1.0900000000000001</v>
      </c>
      <c r="I5" s="19">
        <v>7.71</v>
      </c>
      <c r="J5" s="19">
        <v>7.8304000000000009</v>
      </c>
      <c r="K5" s="19">
        <v>0.11</v>
      </c>
      <c r="L5" s="19">
        <v>10.6</v>
      </c>
      <c r="M5" s="19">
        <v>14.1</v>
      </c>
      <c r="N5" s="19">
        <v>0.39</v>
      </c>
      <c r="O5" s="19">
        <v>8.4499999999999993</v>
      </c>
      <c r="P5" s="19">
        <v>1.18</v>
      </c>
      <c r="Q5" s="19">
        <v>6.3</v>
      </c>
      <c r="R5" s="19"/>
      <c r="S5" s="19">
        <f>SUM(G5:R5)</f>
        <v>100.3604</v>
      </c>
      <c r="U5" s="75"/>
      <c r="W5" s="19"/>
      <c r="X5" s="19"/>
      <c r="Y5" s="19"/>
      <c r="Z5" s="19"/>
      <c r="AA5" s="19"/>
      <c r="AB5" s="19"/>
      <c r="AC5" s="19"/>
      <c r="AD5" s="19"/>
      <c r="AF5" s="19">
        <f>(L5/40.31)/((L5/40.31)+(J5-(J5*0.1189))*0.8998/71.85)</f>
        <v>0.752685813682754</v>
      </c>
      <c r="AG5" s="20">
        <f>H5*5995</f>
        <v>6534.55</v>
      </c>
      <c r="AH5" s="20">
        <f>O5*8302</f>
        <v>70151.899999999994</v>
      </c>
      <c r="AI5" s="20">
        <f>P5*4364</f>
        <v>5149.5199999999995</v>
      </c>
      <c r="AJ5" s="19">
        <f>N5+O5</f>
        <v>8.84</v>
      </c>
      <c r="AK5" s="19">
        <f>O5/N5</f>
        <v>21.666666666666664</v>
      </c>
      <c r="AL5" s="19">
        <f>N5/O5</f>
        <v>4.6153846153846156E-2</v>
      </c>
      <c r="AM5" s="19">
        <f>EK5/EG5</f>
        <v>1.8287937743190659</v>
      </c>
      <c r="AN5" s="19">
        <f>O5/I5</f>
        <v>1.0959792477302204</v>
      </c>
      <c r="AO5" s="19">
        <f>(EL5/61.98+EM5/94.2)/(EG5/101.96)</f>
        <v>1.2694762212815693</v>
      </c>
      <c r="AP5" s="19">
        <f>1/AO5</f>
        <v>0.78772645224537874</v>
      </c>
      <c r="AQ5" s="19">
        <f>(EG5/101.96)/((EK5/56.08)+(EL5/61.98)+(EM5/94.2))</f>
        <v>0.21765451359553495</v>
      </c>
      <c r="AR5" s="20">
        <f>1000*(4*(EE5/60.08)-11*(EL5/61.98+EM5/94.2)-2*(EH5/159.69+EF5/79.87))</f>
        <v>1759.4096713455535</v>
      </c>
      <c r="AS5" s="20">
        <f>1000*(6*(EK5/56.08)+2*(EJ5/40.3)+EG5/101.96)</f>
        <v>2243.4857613621953</v>
      </c>
      <c r="AT5" s="20"/>
      <c r="AU5" s="19">
        <f>O5/G5</f>
        <v>0.19835680751173707</v>
      </c>
      <c r="AV5" s="19">
        <f>(O5/94.2)/(I5/101.96)</f>
        <v>1.1862637377767862</v>
      </c>
      <c r="AX5" s="20">
        <v>432</v>
      </c>
      <c r="AY5" s="20">
        <v>3987</v>
      </c>
      <c r="AZ5" s="20">
        <v>3570</v>
      </c>
      <c r="BA5" s="22"/>
      <c r="BB5" s="22">
        <v>14</v>
      </c>
      <c r="BC5" s="22">
        <v>70</v>
      </c>
      <c r="BD5" s="22">
        <v>52</v>
      </c>
      <c r="BE5" s="22">
        <v>33</v>
      </c>
      <c r="BF5" s="22">
        <v>70</v>
      </c>
      <c r="BG5" s="22"/>
      <c r="BH5" s="22"/>
      <c r="BI5" s="36">
        <v>44</v>
      </c>
      <c r="BJ5" s="20">
        <v>662</v>
      </c>
      <c r="BK5" s="20">
        <v>42</v>
      </c>
      <c r="BL5" s="22"/>
      <c r="BM5" s="22"/>
      <c r="BN5" s="20"/>
      <c r="BO5" s="20">
        <v>460</v>
      </c>
      <c r="BP5" s="20"/>
      <c r="BQ5" s="22"/>
      <c r="BR5" s="22"/>
      <c r="BS5" s="22"/>
      <c r="BT5" s="22"/>
      <c r="BU5" s="22"/>
      <c r="BV5" s="22"/>
      <c r="BW5" s="19"/>
      <c r="BX5" s="19"/>
      <c r="BY5" s="19"/>
      <c r="BZ5" s="22"/>
      <c r="CA5" s="19"/>
      <c r="CB5" s="20"/>
      <c r="CC5" s="20">
        <v>128</v>
      </c>
      <c r="CD5" s="22"/>
      <c r="CE5" s="22"/>
      <c r="CG5" s="22"/>
      <c r="CH5" s="22">
        <f>BO5/0.635</f>
        <v>724.40944881889766</v>
      </c>
      <c r="CI5" s="22"/>
      <c r="CJ5" s="22"/>
      <c r="CK5" s="22"/>
      <c r="CL5" s="22"/>
      <c r="CM5" s="22"/>
      <c r="CN5" s="22"/>
      <c r="CO5" s="22"/>
      <c r="CP5" s="22"/>
      <c r="CQ5" s="22"/>
      <c r="CR5" s="22"/>
      <c r="CS5" s="22"/>
      <c r="CT5" s="22"/>
      <c r="CU5" s="22">
        <f>AZ5/BK5</f>
        <v>85</v>
      </c>
      <c r="CV5" s="22"/>
      <c r="CW5" s="22"/>
      <c r="CX5" s="20">
        <f>AG5/BK5</f>
        <v>155.5845238095238</v>
      </c>
      <c r="CY5" s="22"/>
      <c r="CZ5" s="22"/>
      <c r="DA5" s="22"/>
      <c r="DB5" s="22">
        <f>BJ5/BK5</f>
        <v>15.761904761904763</v>
      </c>
      <c r="DC5" s="22">
        <f>AZ5/CC5</f>
        <v>27.890625</v>
      </c>
      <c r="DD5" s="22"/>
      <c r="DE5" s="22"/>
      <c r="DF5" s="22"/>
      <c r="DG5" s="19">
        <f>BK5/BI5</f>
        <v>0.95454545454545459</v>
      </c>
      <c r="DH5" s="20"/>
      <c r="DI5" s="19"/>
      <c r="DJ5" s="22"/>
      <c r="DK5" s="22"/>
      <c r="DL5" s="22"/>
      <c r="DM5" s="22"/>
      <c r="DN5" s="76"/>
      <c r="DO5" s="22"/>
      <c r="DP5" s="20"/>
      <c r="DQ5" s="22"/>
      <c r="DR5" s="22"/>
      <c r="DS5" s="19"/>
      <c r="DT5" s="23">
        <f>1/AY5</f>
        <v>2.5081514923501377E-4</v>
      </c>
      <c r="DU5" s="22">
        <f>BJ5/BI5</f>
        <v>15.045454545454545</v>
      </c>
      <c r="DV5" s="22"/>
      <c r="DW5" s="22">
        <f>1.74+LOG(BK5/BI5)-1.92*LOG(BJ5/BI5)</f>
        <v>-0.54082158695903093</v>
      </c>
      <c r="DX5" s="22">
        <f>BK5*100/BJ5</f>
        <v>6.3444108761329305</v>
      </c>
      <c r="DY5" s="22">
        <f>CC5*100/BJ5</f>
        <v>19.335347432024168</v>
      </c>
      <c r="DZ5" s="19">
        <f>EK5*100/AY5</f>
        <v>0.37598113597366101</v>
      </c>
      <c r="EA5" s="23"/>
      <c r="EB5" s="19">
        <f>CC5/BK5</f>
        <v>3.0476190476190474</v>
      </c>
      <c r="EC5" s="19"/>
      <c r="ED5" s="19"/>
      <c r="EE5" s="19">
        <f t="shared" ref="EE5:EN5" si="0">100*G5/($G5+$H5+$I5+$J5+$K5+$L5+$M5+$N5+$O5+$P5)</f>
        <v>45.29004767149619</v>
      </c>
      <c r="EF5" s="19">
        <f t="shared" si="0"/>
        <v>1.1588298582612875</v>
      </c>
      <c r="EG5" s="19">
        <f t="shared" si="0"/>
        <v>8.1968607405454375</v>
      </c>
      <c r="EH5" s="19">
        <f t="shared" si="0"/>
        <v>8.3248635982836561</v>
      </c>
      <c r="EI5" s="19">
        <f t="shared" si="0"/>
        <v>0.11694613248508405</v>
      </c>
      <c r="EJ5" s="19">
        <f t="shared" si="0"/>
        <v>11.269354584926282</v>
      </c>
      <c r="EK5" s="19">
        <f t="shared" si="0"/>
        <v>14.990367891269864</v>
      </c>
      <c r="EL5" s="19">
        <f t="shared" si="0"/>
        <v>0.41462719699257072</v>
      </c>
      <c r="EM5" s="19">
        <f t="shared" si="0"/>
        <v>8.9835892681723646</v>
      </c>
      <c r="EN5" s="19">
        <f t="shared" si="0"/>
        <v>1.2545130575672652</v>
      </c>
      <c r="EO5" s="19">
        <f>SUM(EE5:EN5)</f>
        <v>100</v>
      </c>
    </row>
    <row r="6" spans="1:145" s="36" customFormat="1" ht="16">
      <c r="A6" s="1" t="s">
        <v>158</v>
      </c>
      <c r="B6" s="1">
        <v>6</v>
      </c>
      <c r="C6" s="36" t="s">
        <v>158</v>
      </c>
      <c r="D6" s="77" t="s">
        <v>200</v>
      </c>
      <c r="E6" s="36" t="s">
        <v>156</v>
      </c>
      <c r="F6" s="74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U6" s="75">
        <v>0.71126999999999996</v>
      </c>
      <c r="V6" s="75">
        <v>0.5121</v>
      </c>
      <c r="W6" s="19"/>
      <c r="X6" s="19"/>
      <c r="Y6" s="19"/>
      <c r="Z6" s="19"/>
      <c r="AA6" s="19"/>
      <c r="AB6" s="19"/>
      <c r="AC6" s="19"/>
      <c r="AD6" s="19"/>
      <c r="AF6" s="19"/>
      <c r="AG6" s="20"/>
      <c r="AH6" s="20"/>
      <c r="AI6" s="20"/>
      <c r="AJ6" s="19"/>
      <c r="AK6" s="19"/>
      <c r="AL6" s="19"/>
      <c r="AM6" s="19"/>
      <c r="AN6" s="19"/>
      <c r="AO6" s="19"/>
      <c r="AP6" s="19"/>
      <c r="AQ6" s="19"/>
      <c r="AR6" s="20"/>
      <c r="AS6" s="20"/>
      <c r="AT6" s="20"/>
      <c r="AV6" s="19"/>
      <c r="AX6" s="20"/>
      <c r="AY6" s="20"/>
      <c r="AZ6" s="20"/>
      <c r="BA6" s="22"/>
      <c r="BB6" s="22"/>
      <c r="BC6" s="22"/>
      <c r="BD6" s="22"/>
      <c r="BE6" s="22"/>
      <c r="BF6" s="22"/>
      <c r="BG6" s="22"/>
      <c r="BH6" s="22"/>
      <c r="BJ6" s="20"/>
      <c r="BK6" s="20"/>
      <c r="BL6" s="22"/>
      <c r="BM6" s="22"/>
      <c r="BN6" s="20"/>
      <c r="BO6" s="20"/>
      <c r="BP6" s="20"/>
      <c r="BQ6" s="22"/>
      <c r="BR6" s="22"/>
      <c r="BS6" s="22"/>
      <c r="BT6" s="22"/>
      <c r="BU6" s="22"/>
      <c r="BV6" s="22"/>
      <c r="BW6" s="19"/>
      <c r="BX6" s="19"/>
      <c r="BY6" s="19"/>
      <c r="BZ6" s="22"/>
      <c r="CA6" s="19"/>
      <c r="CB6" s="20"/>
      <c r="CC6" s="20"/>
      <c r="CD6" s="22"/>
      <c r="CE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0"/>
      <c r="CY6" s="22"/>
      <c r="CZ6" s="22"/>
      <c r="DA6" s="22"/>
      <c r="DB6" s="22"/>
      <c r="DC6" s="22"/>
      <c r="DD6" s="22"/>
      <c r="DE6" s="22"/>
      <c r="DF6" s="22"/>
      <c r="DG6" s="19"/>
      <c r="DH6" s="20"/>
      <c r="DI6" s="19"/>
      <c r="DJ6" s="22"/>
      <c r="DK6" s="22"/>
      <c r="DL6" s="22"/>
      <c r="DM6" s="22"/>
      <c r="DN6" s="76"/>
      <c r="DO6" s="22"/>
      <c r="DP6" s="20"/>
      <c r="DQ6" s="22"/>
      <c r="DR6" s="22"/>
      <c r="DS6" s="19"/>
      <c r="DT6" s="23"/>
      <c r="DU6" s="22"/>
      <c r="DV6" s="22"/>
      <c r="DW6" s="22"/>
      <c r="DX6" s="22"/>
      <c r="DY6" s="22"/>
      <c r="DZ6" s="19"/>
      <c r="EA6" s="23"/>
      <c r="EB6" s="19"/>
      <c r="EC6" s="19"/>
      <c r="ED6" s="19"/>
      <c r="EE6" s="19"/>
      <c r="EF6" s="19"/>
      <c r="EG6" s="19"/>
      <c r="EH6" s="19"/>
      <c r="EI6" s="19"/>
      <c r="EJ6" s="19"/>
      <c r="EK6" s="19"/>
      <c r="EL6" s="19"/>
      <c r="EM6" s="19"/>
      <c r="EN6" s="19"/>
      <c r="EO6" s="19"/>
    </row>
    <row r="7" spans="1:145">
      <c r="A7" s="1" t="s">
        <v>158</v>
      </c>
      <c r="B7" s="1">
        <v>6</v>
      </c>
      <c r="C7" s="78"/>
      <c r="D7" s="78" t="s">
        <v>223</v>
      </c>
      <c r="E7" s="36" t="s">
        <v>156</v>
      </c>
      <c r="F7" s="1"/>
      <c r="G7" s="79">
        <v>43.3</v>
      </c>
      <c r="H7" s="79">
        <v>1.0980000000000001</v>
      </c>
      <c r="I7" s="79">
        <v>6.62</v>
      </c>
      <c r="J7" s="79">
        <v>7</v>
      </c>
      <c r="K7" s="79">
        <v>0.112</v>
      </c>
      <c r="L7" s="79">
        <v>9.94</v>
      </c>
      <c r="M7" s="79">
        <v>15.84</v>
      </c>
      <c r="N7" s="79">
        <v>0.28999999999999998</v>
      </c>
      <c r="O7" s="79">
        <v>6.82</v>
      </c>
      <c r="P7" s="79">
        <v>1.1599999999999999</v>
      </c>
      <c r="Q7" s="79">
        <v>5.51</v>
      </c>
      <c r="R7" s="79">
        <v>0.18</v>
      </c>
      <c r="S7" s="79">
        <f t="shared" ref="S7:S18" si="1">SUM(G7:R7)</f>
        <v>97.870000000000019</v>
      </c>
      <c r="T7" s="80"/>
      <c r="U7" s="81"/>
      <c r="V7" s="82"/>
      <c r="W7" s="83"/>
      <c r="X7" s="83"/>
      <c r="Y7" s="83"/>
      <c r="Z7" s="84"/>
      <c r="AA7" s="84"/>
      <c r="AB7" s="83"/>
      <c r="AC7" s="83"/>
      <c r="AE7" s="19"/>
      <c r="AF7" s="19">
        <f>(L7/40.31)/((L7/40.31)+(J7-(J7*0.1189))*0.8998/71.85)</f>
        <v>0.76147892437990572</v>
      </c>
      <c r="AG7" s="20">
        <f t="shared" ref="AG7:AG18" si="2">H7*5995</f>
        <v>6582.51</v>
      </c>
      <c r="AH7" s="20">
        <f t="shared" ref="AH7:AH18" si="3">O7*8302</f>
        <v>56619.64</v>
      </c>
      <c r="AI7" s="20">
        <f t="shared" ref="AI7:AI18" si="4">P7*4364</f>
        <v>5062.24</v>
      </c>
      <c r="AJ7" s="19">
        <f t="shared" ref="AJ7:AJ18" si="5">N7+O7</f>
        <v>7.11</v>
      </c>
      <c r="AK7" s="19">
        <f t="shared" ref="AK7:AK18" si="6">O7/N7</f>
        <v>23.517241379310349</v>
      </c>
      <c r="AL7" s="19">
        <f t="shared" ref="AL7:AL18" si="7">N7/O7</f>
        <v>4.2521994134897358E-2</v>
      </c>
      <c r="AM7" s="19">
        <f t="shared" ref="AM7:AM18" si="8">EK7/EG7</f>
        <v>2.392749244712991</v>
      </c>
      <c r="AN7" s="19">
        <f t="shared" ref="AN7:AN18" si="9">O7/I7</f>
        <v>1.0302114803625377</v>
      </c>
      <c r="AO7" s="19">
        <f t="shared" ref="AO7:AO18" si="10">(EL7/61.98+EM7/94.2)/(EG7/101.96)</f>
        <v>1.1871421417914874</v>
      </c>
      <c r="AP7" s="19">
        <f t="shared" ref="AP7:AP18" si="11">1/AO7</f>
        <v>0.84235911168221544</v>
      </c>
      <c r="AQ7" s="19">
        <f t="shared" ref="AQ7:AQ18" si="12">(EG7/101.96)/((EK7/56.08)+(EL7/61.98)+(EM7/94.2))</f>
        <v>0.18058885887482129</v>
      </c>
      <c r="AR7" s="20">
        <f>1000*(4*(EE7/60.08)-11*(EL7/61.98+EM7/94.2)-2*(EH7/159.69+EF7/79.87))</f>
        <v>2082.6637989381602</v>
      </c>
      <c r="AS7" s="20">
        <f>1000*(6*(EK7/56.08)+2*(EJ7/40.3)+EG7/101.96)</f>
        <v>2444.0762601654396</v>
      </c>
      <c r="AT7" s="20"/>
      <c r="AU7" s="19">
        <f t="shared" ref="AU7:AU18" si="13">O7/G7</f>
        <v>0.15750577367205545</v>
      </c>
      <c r="AV7" s="19">
        <f t="shared" ref="AV7:AV18" si="14">(O7/94.2)/(I7/101.96)</f>
        <v>1.1150781585749932</v>
      </c>
      <c r="AW7" s="80"/>
      <c r="AX7" s="80">
        <v>524</v>
      </c>
      <c r="AY7" s="80">
        <v>3513</v>
      </c>
      <c r="AZ7" s="80">
        <v>3707</v>
      </c>
      <c r="BA7" s="80">
        <v>77.900000000000006</v>
      </c>
      <c r="BB7" s="80">
        <v>16</v>
      </c>
      <c r="BC7" s="80">
        <v>72</v>
      </c>
      <c r="BD7" s="80">
        <v>60</v>
      </c>
      <c r="BE7" s="80">
        <v>31</v>
      </c>
      <c r="BF7" s="80">
        <v>90</v>
      </c>
      <c r="BG7" s="80">
        <v>40</v>
      </c>
      <c r="BH7" s="80">
        <v>120</v>
      </c>
      <c r="BI7" s="80">
        <v>45</v>
      </c>
      <c r="BJ7" s="80">
        <v>637</v>
      </c>
      <c r="BK7" s="80">
        <v>45</v>
      </c>
      <c r="BL7" s="80">
        <v>19.600000000000001</v>
      </c>
      <c r="BM7" s="80">
        <v>3.3</v>
      </c>
      <c r="BN7" s="80">
        <v>270</v>
      </c>
      <c r="BO7" s="80">
        <v>547</v>
      </c>
      <c r="BP7" s="80">
        <v>61.7</v>
      </c>
      <c r="BQ7" s="80">
        <v>231</v>
      </c>
      <c r="BR7" s="80">
        <v>39.799999999999997</v>
      </c>
      <c r="BS7" s="80">
        <v>7.42</v>
      </c>
      <c r="BT7" s="80">
        <v>26.2</v>
      </c>
      <c r="BU7" s="80">
        <v>2.9</v>
      </c>
      <c r="BV7" s="80">
        <v>12.7</v>
      </c>
      <c r="BW7" s="80">
        <v>1.8</v>
      </c>
      <c r="BX7" s="80">
        <v>4.2</v>
      </c>
      <c r="BY7" s="80">
        <v>0.48</v>
      </c>
      <c r="BZ7" s="80">
        <v>2.6</v>
      </c>
      <c r="CA7" s="80">
        <v>0.36</v>
      </c>
      <c r="CB7" s="80">
        <v>136</v>
      </c>
      <c r="CC7" s="80">
        <v>128</v>
      </c>
      <c r="CD7" s="80">
        <v>27.4</v>
      </c>
      <c r="CE7" s="80">
        <v>18</v>
      </c>
      <c r="CF7" s="85"/>
      <c r="CG7" s="22">
        <f t="shared" ref="CG7:CG13" si="15">BN7/0.242</f>
        <v>1115.702479338843</v>
      </c>
      <c r="CH7" s="22">
        <f t="shared" ref="CH7:CH13" si="16">BO7/0.635</f>
        <v>861.41732283464569</v>
      </c>
      <c r="CI7" s="22">
        <f>BP7/0.0963</f>
        <v>640.70612668743513</v>
      </c>
      <c r="CJ7" s="22">
        <f>BQ7/0.48</f>
        <v>481.25</v>
      </c>
      <c r="CK7" s="22">
        <f>BR7/0.156</f>
        <v>255.12820512820511</v>
      </c>
      <c r="CL7" s="22">
        <f>BS7/0.0591</f>
        <v>125.54991539763114</v>
      </c>
      <c r="CM7" s="22">
        <f>BT7/0.212</f>
        <v>123.58490566037736</v>
      </c>
      <c r="CN7" s="22">
        <f>BU7/0.0376</f>
        <v>77.127659574468083</v>
      </c>
      <c r="CO7" s="22">
        <f>BV7/0.259</f>
        <v>49.034749034749034</v>
      </c>
      <c r="CP7" s="22">
        <f>BW7/0.0585</f>
        <v>30.769230769230766</v>
      </c>
      <c r="CQ7" s="22">
        <f>BX7/0.163</f>
        <v>25.766871165644172</v>
      </c>
      <c r="CR7" s="22">
        <f>BY7/0.0256</f>
        <v>18.75</v>
      </c>
      <c r="CS7" s="22">
        <f>BZ7/0.166</f>
        <v>15.662650602409638</v>
      </c>
      <c r="CT7" s="22">
        <f>CA7/0.024</f>
        <v>15</v>
      </c>
      <c r="CU7" s="22">
        <f t="shared" ref="CU7:CU13" si="17">AZ7/BK7</f>
        <v>82.37777777777778</v>
      </c>
      <c r="CV7" s="22">
        <f t="shared" ref="CV7:CV13" si="18">AZ7/BN7</f>
        <v>13.729629629629629</v>
      </c>
      <c r="CW7" s="22">
        <f t="shared" ref="CW7:CW13" si="19">BN7/BK7</f>
        <v>6</v>
      </c>
      <c r="CX7" s="20">
        <f t="shared" ref="CX7:CX13" si="20">AG7/BK7</f>
        <v>146.27799999999999</v>
      </c>
      <c r="CY7" s="22">
        <f>BO7/CB7</f>
        <v>4.0220588235294121</v>
      </c>
      <c r="CZ7" s="22">
        <f>BK7/CD7</f>
        <v>1.6423357664233578</v>
      </c>
      <c r="DA7" s="22">
        <f>AX7/BR7</f>
        <v>13.165829145728644</v>
      </c>
      <c r="DB7" s="22">
        <f t="shared" ref="DB7:DB13" si="21">BJ7/BK7</f>
        <v>14.155555555555555</v>
      </c>
      <c r="DC7" s="22">
        <f t="shared" ref="DC7:DC14" si="22">AZ7/CC7</f>
        <v>28.9609375</v>
      </c>
      <c r="DD7" s="22">
        <f>CC7/BM7</f>
        <v>38.787878787878789</v>
      </c>
      <c r="DE7" s="22">
        <f>BM7/BZ7</f>
        <v>1.2692307692307692</v>
      </c>
      <c r="DF7" s="22">
        <f>CC7/BZ7</f>
        <v>49.230769230769226</v>
      </c>
      <c r="DG7" s="19">
        <f t="shared" ref="DG7:DG13" si="23">BK7/BI7</f>
        <v>1</v>
      </c>
      <c r="DH7" s="20">
        <f t="shared" ref="DH7:DH13" si="24">AH7/BN7</f>
        <v>209.70237037037037</v>
      </c>
      <c r="DI7" s="19">
        <f>(BK7/0.46)/((O7/0.023)*(CD7/0.017))^0.5</f>
        <v>0.14150624022448682</v>
      </c>
      <c r="DJ7" s="22">
        <f>BN7/CA7</f>
        <v>750</v>
      </c>
      <c r="DK7" s="22">
        <f>CG7/CT7</f>
        <v>74.380165289256198</v>
      </c>
      <c r="DL7" s="22">
        <f>CG7/CK7</f>
        <v>4.3731051953984803</v>
      </c>
      <c r="DM7" s="22">
        <f>BN7/BZ7</f>
        <v>103.84615384615384</v>
      </c>
      <c r="DN7" s="76">
        <f>BL7/BQ7</f>
        <v>8.4848484848484854E-2</v>
      </c>
      <c r="DO7" s="22">
        <f>BR7/BZ7</f>
        <v>15.307692307692307</v>
      </c>
      <c r="DP7" s="20">
        <f>AY7/BZ7</f>
        <v>1351.1538461538462</v>
      </c>
      <c r="DQ7" s="22">
        <f>AY7/BQ7</f>
        <v>15.207792207792208</v>
      </c>
      <c r="DR7" s="22">
        <f>AY7/(((BR7/0.195)*(BT7/0.259))^0.5)</f>
        <v>24.448552748696834</v>
      </c>
      <c r="DS7" s="19">
        <f>(BS7/0.074)/(((BR7/0.195)*(BT7/0.259))^0.5)</f>
        <v>0.69782607225413906</v>
      </c>
      <c r="DT7" s="23">
        <f t="shared" ref="DT7:DT14" si="25">1/AY7</f>
        <v>2.8465698832906349E-4</v>
      </c>
      <c r="DU7" s="22">
        <f t="shared" ref="DU7:DU13" si="26">BJ7/BI7</f>
        <v>14.155555555555555</v>
      </c>
      <c r="DV7" s="22">
        <f>BK7/BM7</f>
        <v>13.636363636363637</v>
      </c>
      <c r="DW7" s="22">
        <f t="shared" ref="DW7:DW13" si="27">1.74+LOG(BK7/BI7)-1.92*LOG(BJ7/BI7)</f>
        <v>-0.46977968363521305</v>
      </c>
      <c r="DX7" s="22">
        <f t="shared" ref="DX7:DX13" si="28">BK7*100/BJ7</f>
        <v>7.0643642072213497</v>
      </c>
      <c r="DY7" s="22">
        <f t="shared" ref="DY7:DY14" si="29">CC7*100/BJ7</f>
        <v>20.094191522762952</v>
      </c>
      <c r="DZ7" s="19">
        <f t="shared" ref="DZ7:DZ14" si="30">EK7*100/AY7</f>
        <v>0.48914804677070567</v>
      </c>
      <c r="EA7" s="23">
        <f t="shared" ref="EA7:EA13" si="31">BA7/BN7</f>
        <v>0.28851851851851856</v>
      </c>
      <c r="EB7" s="19">
        <f t="shared" ref="EB7:EB13" si="32">CC7/BK7</f>
        <v>2.8444444444444446</v>
      </c>
      <c r="EC7" s="19">
        <f>(CB7/0.144)/(CH7*CI7)^(1/2)</f>
        <v>1.2712769634490486</v>
      </c>
      <c r="ED7" s="19"/>
      <c r="EE7" s="19">
        <f t="shared" ref="EE7:EE18" si="33">100*G7/($G7+$H7+$I7+$J7+$K7+$L7+$M7+$N7+$O7+$P7)</f>
        <v>46.973313083098283</v>
      </c>
      <c r="EF7" s="19">
        <f t="shared" ref="EF7:EF18" si="34">100*H7/($G7+$H7+$I7+$J7+$K7+$L7+$M7+$N7+$O7+$P7)</f>
        <v>1.1911477543935778</v>
      </c>
      <c r="EG7" s="19">
        <f t="shared" ref="EG7:EG18" si="35">100*I7/($G7+$H7+$I7+$J7+$K7+$L7+$M7+$N7+$O7+$P7)</f>
        <v>7.1816012150141022</v>
      </c>
      <c r="EH7" s="19">
        <f t="shared" ref="EH7:EH18" si="36">100*J7/($G7+$H7+$I7+$J7+$K7+$L7+$M7+$N7+$O7+$P7)</f>
        <v>7.5938381427641568</v>
      </c>
      <c r="EI7" s="19">
        <f t="shared" ref="EI7:EI18" si="37">100*K7/($G7+$H7+$I7+$J7+$K7+$L7+$M7+$N7+$O7+$P7)</f>
        <v>0.12150141028422652</v>
      </c>
      <c r="EJ7" s="19">
        <f t="shared" ref="EJ7:EJ18" si="38">100*L7/($G7+$H7+$I7+$J7+$K7+$L7+$M7+$N7+$O7+$P7)</f>
        <v>10.783250162725102</v>
      </c>
      <c r="EK7" s="19">
        <f t="shared" ref="EK7:EK18" si="39">100*M7/($G7+$H7+$I7+$J7+$K7+$L7+$M7+$N7+$O7+$P7)</f>
        <v>17.183770883054891</v>
      </c>
      <c r="EL7" s="19">
        <f t="shared" ref="EL7:EL18" si="40">100*N7/($G7+$H7+$I7+$J7+$K7+$L7+$M7+$N7+$O7+$P7)</f>
        <v>0.314601865914515</v>
      </c>
      <c r="EM7" s="19">
        <f t="shared" ref="EM7:EM18" si="41">100*O7/($G7+$H7+$I7+$J7+$K7+$L7+$M7+$N7+$O7+$P7)</f>
        <v>7.3985680190930783</v>
      </c>
      <c r="EN7" s="19">
        <f t="shared" ref="EN7:EN18" si="42">100*P7/($G7+$H7+$I7+$J7+$K7+$L7+$M7+$N7+$O7+$P7)</f>
        <v>1.25840746365806</v>
      </c>
      <c r="EO7" s="19">
        <f t="shared" ref="EO7:EO18" si="43">SUM(EE7:EN7)</f>
        <v>99.999999999999986</v>
      </c>
    </row>
    <row r="8" spans="1:145">
      <c r="A8" s="1" t="s">
        <v>158</v>
      </c>
      <c r="B8" s="1">
        <v>6</v>
      </c>
      <c r="C8" s="78"/>
      <c r="D8" s="78" t="s">
        <v>223</v>
      </c>
      <c r="E8" s="36" t="s">
        <v>156</v>
      </c>
      <c r="F8" s="1"/>
      <c r="G8" s="79">
        <v>43.73</v>
      </c>
      <c r="H8" s="79">
        <v>1.1160000000000001</v>
      </c>
      <c r="I8" s="79">
        <v>6.93</v>
      </c>
      <c r="J8" s="79">
        <v>7.22</v>
      </c>
      <c r="K8" s="79">
        <v>0.11700000000000001</v>
      </c>
      <c r="L8" s="79">
        <v>10.09</v>
      </c>
      <c r="M8" s="79">
        <v>15.9</v>
      </c>
      <c r="N8" s="79">
        <v>0.28999999999999998</v>
      </c>
      <c r="O8" s="79">
        <v>5.23</v>
      </c>
      <c r="P8" s="79">
        <v>1.22</v>
      </c>
      <c r="Q8" s="79">
        <v>5.97</v>
      </c>
      <c r="R8" s="79">
        <v>0.15</v>
      </c>
      <c r="S8" s="79">
        <f t="shared" si="1"/>
        <v>97.963000000000008</v>
      </c>
      <c r="T8" s="80"/>
      <c r="U8" s="86"/>
      <c r="V8" s="87"/>
      <c r="W8" s="84"/>
      <c r="X8" s="84"/>
      <c r="Y8" s="84"/>
      <c r="Z8" s="84"/>
      <c r="AA8" s="84"/>
      <c r="AB8" s="83"/>
      <c r="AC8" s="83"/>
      <c r="AD8" s="79"/>
      <c r="AE8" s="19"/>
      <c r="AF8" s="19">
        <f>(L8/40.31)/((L8/40.31)+(J8-(J8*0.1189))*0.8998/71.85)</f>
        <v>0.75856676306913062</v>
      </c>
      <c r="AG8" s="20">
        <f t="shared" si="2"/>
        <v>6690.420000000001</v>
      </c>
      <c r="AH8" s="20">
        <f t="shared" si="3"/>
        <v>43419.460000000006</v>
      </c>
      <c r="AI8" s="20">
        <f t="shared" si="4"/>
        <v>5324.08</v>
      </c>
      <c r="AJ8" s="19">
        <f t="shared" si="5"/>
        <v>5.5200000000000005</v>
      </c>
      <c r="AK8" s="19">
        <f t="shared" si="6"/>
        <v>18.034482758620694</v>
      </c>
      <c r="AL8" s="19">
        <f t="shared" si="7"/>
        <v>5.5449330783938808E-2</v>
      </c>
      <c r="AM8" s="19">
        <f t="shared" si="8"/>
        <v>2.2943722943722946</v>
      </c>
      <c r="AN8" s="19">
        <f t="shared" si="9"/>
        <v>0.75468975468975474</v>
      </c>
      <c r="AO8" s="19">
        <f t="shared" si="10"/>
        <v>0.88569986824529567</v>
      </c>
      <c r="AP8" s="19">
        <f t="shared" si="11"/>
        <v>1.1290506365109323</v>
      </c>
      <c r="AQ8" s="19">
        <f t="shared" si="12"/>
        <v>0.19774033867907936</v>
      </c>
      <c r="AR8" s="20">
        <f>1000*(4*(EE8/60.08)-11*(EL8/61.98+EM8/94.2)-2*(EH8/159.69+EF8/79.87))</f>
        <v>2320.1449256896699</v>
      </c>
      <c r="AS8" s="20">
        <f>1000*(6*(EK8/56.08)+2*(EJ8/40.3)+EG8/101.96)</f>
        <v>2471.4496196923583</v>
      </c>
      <c r="AT8" s="20"/>
      <c r="AU8" s="19">
        <f t="shared" si="13"/>
        <v>0.11959753029956553</v>
      </c>
      <c r="AV8" s="19">
        <f t="shared" si="14"/>
        <v>0.81685952641366655</v>
      </c>
      <c r="AW8" s="80"/>
      <c r="AX8" s="80">
        <v>546</v>
      </c>
      <c r="AY8" s="80">
        <v>3892</v>
      </c>
      <c r="AZ8" s="80">
        <v>3631</v>
      </c>
      <c r="BA8" s="80">
        <v>79.099999999999994</v>
      </c>
      <c r="BB8" s="80">
        <v>15</v>
      </c>
      <c r="BC8" s="80">
        <v>42</v>
      </c>
      <c r="BD8" s="80">
        <v>60</v>
      </c>
      <c r="BE8" s="80">
        <v>29</v>
      </c>
      <c r="BF8" s="80">
        <v>70</v>
      </c>
      <c r="BG8" s="80">
        <v>40</v>
      </c>
      <c r="BH8" s="80">
        <v>130</v>
      </c>
      <c r="BI8" s="80">
        <v>49</v>
      </c>
      <c r="BJ8" s="80">
        <v>861</v>
      </c>
      <c r="BK8" s="80">
        <v>51</v>
      </c>
      <c r="BL8" s="80">
        <v>25</v>
      </c>
      <c r="BM8" s="80">
        <v>3.2</v>
      </c>
      <c r="BN8" s="80">
        <v>264</v>
      </c>
      <c r="BO8" s="80">
        <v>544</v>
      </c>
      <c r="BP8" s="80">
        <v>63.9</v>
      </c>
      <c r="BQ8" s="80">
        <v>234</v>
      </c>
      <c r="BR8" s="80">
        <v>41.5</v>
      </c>
      <c r="BS8" s="80">
        <v>7.67</v>
      </c>
      <c r="BT8" s="80">
        <v>25.3</v>
      </c>
      <c r="BU8" s="80">
        <v>3.1</v>
      </c>
      <c r="BV8" s="80">
        <v>13</v>
      </c>
      <c r="BW8" s="80">
        <v>1.8</v>
      </c>
      <c r="BX8" s="80">
        <v>4.0999999999999996</v>
      </c>
      <c r="BY8" s="80">
        <v>0.49</v>
      </c>
      <c r="BZ8" s="80">
        <v>2.6</v>
      </c>
      <c r="CA8" s="80">
        <v>0.38</v>
      </c>
      <c r="CB8" s="80">
        <v>155</v>
      </c>
      <c r="CC8" s="80">
        <v>137</v>
      </c>
      <c r="CD8" s="80">
        <v>29.9</v>
      </c>
      <c r="CE8" s="80">
        <v>20</v>
      </c>
      <c r="CF8" s="85"/>
      <c r="CG8" s="22">
        <f t="shared" si="15"/>
        <v>1090.909090909091</v>
      </c>
      <c r="CH8" s="22">
        <f t="shared" si="16"/>
        <v>856.69291338582673</v>
      </c>
      <c r="CI8" s="22">
        <f>BP8/0.0963</f>
        <v>663.55140186915889</v>
      </c>
      <c r="CJ8" s="22">
        <f>BQ8/0.48</f>
        <v>487.5</v>
      </c>
      <c r="CK8" s="22">
        <f>BR8/0.156</f>
        <v>266.02564102564105</v>
      </c>
      <c r="CL8" s="22">
        <f>BS8/0.0591</f>
        <v>129.78003384094754</v>
      </c>
      <c r="CM8" s="22">
        <f>BT8/0.212</f>
        <v>119.33962264150944</v>
      </c>
      <c r="CN8" s="22">
        <f>BU8/0.0376</f>
        <v>82.446808510638292</v>
      </c>
      <c r="CO8" s="22">
        <f>BV8/0.259</f>
        <v>50.19305019305019</v>
      </c>
      <c r="CP8" s="22">
        <f>BW8/0.0585</f>
        <v>30.769230769230766</v>
      </c>
      <c r="CQ8" s="22">
        <f>BX8/0.163</f>
        <v>25.153374233128833</v>
      </c>
      <c r="CR8" s="22">
        <f>BY8/0.0256</f>
        <v>19.140625</v>
      </c>
      <c r="CS8" s="22">
        <f>BZ8/0.166</f>
        <v>15.662650602409638</v>
      </c>
      <c r="CT8" s="22">
        <f>CA8/0.024</f>
        <v>15.833333333333334</v>
      </c>
      <c r="CU8" s="22">
        <f t="shared" si="17"/>
        <v>71.196078431372555</v>
      </c>
      <c r="CV8" s="22">
        <f t="shared" si="18"/>
        <v>13.753787878787879</v>
      </c>
      <c r="CW8" s="22">
        <f t="shared" si="19"/>
        <v>5.1764705882352944</v>
      </c>
      <c r="CX8" s="20">
        <f t="shared" si="20"/>
        <v>131.18470588235297</v>
      </c>
      <c r="CY8" s="22">
        <f>BO8/CB8</f>
        <v>3.5096774193548388</v>
      </c>
      <c r="CZ8" s="22">
        <f>BK8/CD8</f>
        <v>1.705685618729097</v>
      </c>
      <c r="DA8" s="22">
        <f>AX8/BR8</f>
        <v>13.156626506024097</v>
      </c>
      <c r="DB8" s="22">
        <f t="shared" si="21"/>
        <v>16.882352941176471</v>
      </c>
      <c r="DC8" s="22">
        <f t="shared" si="22"/>
        <v>26.503649635036496</v>
      </c>
      <c r="DD8" s="22">
        <f>CC8/BM8</f>
        <v>42.8125</v>
      </c>
      <c r="DE8" s="22">
        <f>BM8/BZ8</f>
        <v>1.2307692307692308</v>
      </c>
      <c r="DF8" s="22">
        <f>CC8/BZ8</f>
        <v>52.692307692307693</v>
      </c>
      <c r="DG8" s="19">
        <f t="shared" si="23"/>
        <v>1.0408163265306123</v>
      </c>
      <c r="DH8" s="20">
        <f t="shared" si="24"/>
        <v>164.46765151515154</v>
      </c>
      <c r="DI8" s="19">
        <f>(BK8/0.46)/((O8/0.023)*(CD8/0.017))^0.5</f>
        <v>0.17531306578032674</v>
      </c>
      <c r="DJ8" s="22">
        <f>BN8/CA8</f>
        <v>694.73684210526312</v>
      </c>
      <c r="DK8" s="22">
        <f>CG8/CT8</f>
        <v>68.899521531100476</v>
      </c>
      <c r="DL8" s="22">
        <f>CG8/CK8</f>
        <v>4.1007667031763413</v>
      </c>
      <c r="DM8" s="22">
        <f>BN8/BZ8</f>
        <v>101.53846153846153</v>
      </c>
      <c r="DN8" s="76">
        <f>BL8/BQ8</f>
        <v>0.10683760683760683</v>
      </c>
      <c r="DO8" s="22">
        <f>BR8/BZ8</f>
        <v>15.961538461538462</v>
      </c>
      <c r="DP8" s="20">
        <f>AY8/BZ8</f>
        <v>1496.9230769230769</v>
      </c>
      <c r="DQ8" s="22">
        <f>AY8/BQ8</f>
        <v>16.632478632478634</v>
      </c>
      <c r="DR8" s="22">
        <f>AY8/(((BR8/0.195)*(BT8/0.259))^0.5)</f>
        <v>26.993283153702741</v>
      </c>
      <c r="DS8" s="19">
        <f>(BS8/0.074)/(((BR8/0.195)*(BT8/0.259))^0.5)</f>
        <v>0.71886364888787824</v>
      </c>
      <c r="DT8" s="23">
        <f t="shared" si="25"/>
        <v>2.5693730729701953E-4</v>
      </c>
      <c r="DU8" s="22">
        <f t="shared" si="26"/>
        <v>17.571428571428573</v>
      </c>
      <c r="DV8" s="22">
        <f>BK8/BM8</f>
        <v>15.9375</v>
      </c>
      <c r="DW8" s="22">
        <f t="shared" si="27"/>
        <v>-0.63265548106684832</v>
      </c>
      <c r="DX8" s="22">
        <f t="shared" si="28"/>
        <v>5.9233449477351918</v>
      </c>
      <c r="DY8" s="22">
        <f t="shared" si="29"/>
        <v>15.911730545876887</v>
      </c>
      <c r="DZ8" s="19">
        <f t="shared" si="30"/>
        <v>0.4448137785157944</v>
      </c>
      <c r="EA8" s="23">
        <f t="shared" si="31"/>
        <v>0.29962121212121212</v>
      </c>
      <c r="EB8" s="19">
        <f t="shared" si="32"/>
        <v>2.6862745098039214</v>
      </c>
      <c r="EC8" s="19">
        <f>(CB8/0.144)/(CH8*CI8)^(1/2)</f>
        <v>1.4276420569132404</v>
      </c>
      <c r="ED8" s="19"/>
      <c r="EE8" s="19">
        <f t="shared" si="33"/>
        <v>47.613862787583159</v>
      </c>
      <c r="EF8" s="19">
        <f t="shared" si="34"/>
        <v>1.2151171020110407</v>
      </c>
      <c r="EG8" s="19">
        <f t="shared" si="35"/>
        <v>7.5454852302298487</v>
      </c>
      <c r="EH8" s="19">
        <f t="shared" si="36"/>
        <v>7.861241466415513</v>
      </c>
      <c r="EI8" s="19">
        <f t="shared" si="37"/>
        <v>0.12739130908180266</v>
      </c>
      <c r="EJ8" s="19">
        <f t="shared" si="38"/>
        <v>10.986139390046056</v>
      </c>
      <c r="EK8" s="19">
        <f t="shared" si="39"/>
        <v>17.312152259834718</v>
      </c>
      <c r="EL8" s="19">
        <f t="shared" si="40"/>
        <v>0.31575623618566462</v>
      </c>
      <c r="EM8" s="19">
        <f t="shared" si="41"/>
        <v>5.6945003974173316</v>
      </c>
      <c r="EN8" s="19">
        <f t="shared" si="42"/>
        <v>1.3283538211948651</v>
      </c>
      <c r="EO8" s="19">
        <f t="shared" si="43"/>
        <v>100</v>
      </c>
    </row>
    <row r="9" spans="1:145" s="36" customFormat="1">
      <c r="A9" s="36" t="s">
        <v>225</v>
      </c>
      <c r="B9" s="1">
        <v>6</v>
      </c>
      <c r="D9" s="36" t="s">
        <v>180</v>
      </c>
      <c r="E9" s="36" t="s">
        <v>63</v>
      </c>
      <c r="F9" s="36">
        <v>0.46500000000000002</v>
      </c>
      <c r="G9" s="19">
        <v>43.68</v>
      </c>
      <c r="H9" s="19">
        <v>1.1499999999999999</v>
      </c>
      <c r="I9" s="19">
        <v>7.53</v>
      </c>
      <c r="J9" s="19">
        <v>7.9120000000000008</v>
      </c>
      <c r="K9" s="19">
        <v>0.12</v>
      </c>
      <c r="L9" s="19">
        <v>10.52</v>
      </c>
      <c r="M9" s="19">
        <v>14.97</v>
      </c>
      <c r="N9" s="19">
        <v>0.45</v>
      </c>
      <c r="O9" s="19">
        <v>9.8800000000000008</v>
      </c>
      <c r="P9" s="19">
        <v>1.1399999999999999</v>
      </c>
      <c r="Q9" s="19">
        <v>2.9</v>
      </c>
      <c r="R9" s="19"/>
      <c r="S9" s="19">
        <f t="shared" si="1"/>
        <v>100.252</v>
      </c>
      <c r="U9" s="75"/>
      <c r="V9" s="75"/>
      <c r="W9" s="19"/>
      <c r="X9" s="19"/>
      <c r="Y9" s="19"/>
      <c r="Z9" s="19"/>
      <c r="AA9" s="19"/>
      <c r="AB9" s="22"/>
      <c r="AC9" s="22"/>
      <c r="AF9" s="19">
        <f t="shared" ref="AF9:AF18" si="44">(L9/40.31)/((L9/40.31)+(J9-(J9*0.15))*0.8998/71.85)</f>
        <v>0.75601977207456439</v>
      </c>
      <c r="AG9" s="20">
        <f t="shared" si="2"/>
        <v>6894.2499999999991</v>
      </c>
      <c r="AH9" s="20">
        <f t="shared" si="3"/>
        <v>82023.760000000009</v>
      </c>
      <c r="AI9" s="20">
        <f t="shared" si="4"/>
        <v>4974.9599999999991</v>
      </c>
      <c r="AJ9" s="19">
        <f t="shared" si="5"/>
        <v>10.33</v>
      </c>
      <c r="AK9" s="19">
        <f t="shared" si="6"/>
        <v>21.955555555555556</v>
      </c>
      <c r="AL9" s="19">
        <f t="shared" si="7"/>
        <v>4.5546558704453441E-2</v>
      </c>
      <c r="AM9" s="19">
        <f t="shared" si="8"/>
        <v>1.9880478087649405</v>
      </c>
      <c r="AN9" s="19">
        <f t="shared" si="9"/>
        <v>1.3120849933598939</v>
      </c>
      <c r="AO9" s="19">
        <f t="shared" si="10"/>
        <v>1.5184813941655462</v>
      </c>
      <c r="AP9" s="19">
        <f t="shared" si="11"/>
        <v>0.6585526854937408</v>
      </c>
      <c r="AQ9" s="19">
        <f t="shared" si="12"/>
        <v>0.19481841979245645</v>
      </c>
      <c r="AR9" s="20">
        <f t="shared" ref="AR9:AR18" si="45">1000*(4*(EE9/60.08)-11*(EL9/61.98*2+EM9/94.2*2)-2*(EH9/159.69*2+EF9/79.87))</f>
        <v>219.80214517986721</v>
      </c>
      <c r="AS9" s="20">
        <f t="shared" ref="AS9:AS18" si="46">1000*(6*(EK9/56.08)+2*(EJ9/40.3)+EG9/101.96*2)</f>
        <v>2333.2133527238725</v>
      </c>
      <c r="AT9" s="20"/>
      <c r="AU9" s="19">
        <f t="shared" si="13"/>
        <v>0.22619047619047622</v>
      </c>
      <c r="AV9" s="19">
        <f t="shared" si="14"/>
        <v>1.4201718250846578</v>
      </c>
      <c r="AX9" s="20">
        <v>596</v>
      </c>
      <c r="AY9" s="20">
        <v>3704</v>
      </c>
      <c r="AZ9" s="20">
        <v>4390</v>
      </c>
      <c r="BB9" s="22">
        <v>18</v>
      </c>
      <c r="BC9" s="22">
        <v>83</v>
      </c>
      <c r="BD9" s="22">
        <v>50</v>
      </c>
      <c r="BE9" s="22">
        <v>36</v>
      </c>
      <c r="BF9" s="22">
        <v>80</v>
      </c>
      <c r="BG9" s="22"/>
      <c r="BH9" s="22"/>
      <c r="BI9" s="36">
        <v>59</v>
      </c>
      <c r="BJ9" s="20">
        <v>825</v>
      </c>
      <c r="BK9" s="20">
        <v>46</v>
      </c>
      <c r="BL9" s="22">
        <v>25</v>
      </c>
      <c r="BM9" s="22">
        <v>3.9</v>
      </c>
      <c r="BN9" s="20">
        <v>254</v>
      </c>
      <c r="BO9" s="20">
        <v>578</v>
      </c>
      <c r="BP9" s="20"/>
      <c r="BQ9" s="22">
        <v>232</v>
      </c>
      <c r="BR9" s="22">
        <v>41</v>
      </c>
      <c r="BS9" s="22">
        <v>7.6</v>
      </c>
      <c r="BT9" s="22"/>
      <c r="BU9" s="22">
        <v>2.9</v>
      </c>
      <c r="BV9" s="22"/>
      <c r="BW9" s="19"/>
      <c r="BX9" s="19"/>
      <c r="BY9" s="19"/>
      <c r="BZ9" s="22">
        <v>2.6</v>
      </c>
      <c r="CA9" s="19">
        <v>0.36</v>
      </c>
      <c r="CB9" s="20"/>
      <c r="CC9" s="20">
        <v>137</v>
      </c>
      <c r="CD9" s="22">
        <v>28.5</v>
      </c>
      <c r="CE9" s="22"/>
      <c r="CG9" s="22">
        <f t="shared" si="15"/>
        <v>1049.5867768595042</v>
      </c>
      <c r="CH9" s="22">
        <f t="shared" si="16"/>
        <v>910.23622047244089</v>
      </c>
      <c r="CI9" s="22"/>
      <c r="CJ9" s="22">
        <f>BQ9/0.48</f>
        <v>483.33333333333337</v>
      </c>
      <c r="CK9" s="22">
        <f>BR9/0.156</f>
        <v>262.82051282051282</v>
      </c>
      <c r="CL9" s="22">
        <f>BS9/0.0591</f>
        <v>128.59560067681895</v>
      </c>
      <c r="CM9" s="22"/>
      <c r="CN9" s="22">
        <f>BU9/0.0376</f>
        <v>77.127659574468083</v>
      </c>
      <c r="CO9" s="22"/>
      <c r="CP9" s="22"/>
      <c r="CQ9" s="22"/>
      <c r="CR9" s="22">
        <f>BY9/0.0256</f>
        <v>0</v>
      </c>
      <c r="CS9" s="22">
        <f>BZ9/0.166</f>
        <v>15.662650602409638</v>
      </c>
      <c r="CT9" s="22">
        <f>CA9/0.024</f>
        <v>15</v>
      </c>
      <c r="CU9" s="22">
        <f t="shared" si="17"/>
        <v>95.434782608695656</v>
      </c>
      <c r="CV9" s="22">
        <f t="shared" si="18"/>
        <v>17.283464566929133</v>
      </c>
      <c r="CW9" s="22">
        <f t="shared" si="19"/>
        <v>5.5217391304347823</v>
      </c>
      <c r="CX9" s="20">
        <f t="shared" si="20"/>
        <v>149.87499999999997</v>
      </c>
      <c r="CY9" s="22"/>
      <c r="CZ9" s="22">
        <f>BK9/CD9</f>
        <v>1.6140350877192982</v>
      </c>
      <c r="DA9" s="22">
        <f>AX9/BR9</f>
        <v>14.536585365853659</v>
      </c>
      <c r="DB9" s="22">
        <f t="shared" si="21"/>
        <v>17.934782608695652</v>
      </c>
      <c r="DC9" s="22">
        <f t="shared" si="22"/>
        <v>32.043795620437955</v>
      </c>
      <c r="DD9" s="22">
        <f>CC9/BM9</f>
        <v>35.128205128205131</v>
      </c>
      <c r="DE9" s="22">
        <f>BM9/BZ9</f>
        <v>1.5</v>
      </c>
      <c r="DF9" s="22">
        <f>CC9/BZ9</f>
        <v>52.692307692307693</v>
      </c>
      <c r="DG9" s="19">
        <f t="shared" si="23"/>
        <v>0.77966101694915257</v>
      </c>
      <c r="DH9" s="20">
        <f t="shared" si="24"/>
        <v>322.92818897637801</v>
      </c>
      <c r="DI9" s="19">
        <f>(BK9/0.46)/((O9/0.023)*(CD9/0.017))^0.5</f>
        <v>0.11783857347403173</v>
      </c>
      <c r="DJ9" s="22">
        <f>BN9/CA9</f>
        <v>705.55555555555554</v>
      </c>
      <c r="DK9" s="22">
        <f>CG9/CT9</f>
        <v>69.972451790633613</v>
      </c>
      <c r="DL9" s="22">
        <f>CG9/CK9</f>
        <v>3.9935496875629917</v>
      </c>
      <c r="DM9" s="22">
        <f>BN9/BZ9</f>
        <v>97.692307692307693</v>
      </c>
      <c r="DN9" s="76">
        <f>BL9/BQ9</f>
        <v>0.10775862068965517</v>
      </c>
      <c r="DO9" s="22">
        <f>BR9/BZ9</f>
        <v>15.769230769230768</v>
      </c>
      <c r="DP9" s="20">
        <f>AY9/BZ9</f>
        <v>1424.6153846153845</v>
      </c>
      <c r="DQ9" s="22">
        <f>AY9/BQ9</f>
        <v>15.96551724137931</v>
      </c>
      <c r="DR9" s="22"/>
      <c r="DS9" s="19"/>
      <c r="DT9" s="23">
        <f t="shared" si="25"/>
        <v>2.6997840172786179E-4</v>
      </c>
      <c r="DU9" s="22">
        <f t="shared" si="26"/>
        <v>13.983050847457626</v>
      </c>
      <c r="DV9" s="22">
        <f>BK9/BM9</f>
        <v>11.794871794871796</v>
      </c>
      <c r="DW9" s="22">
        <f t="shared" si="27"/>
        <v>-0.56764989882350925</v>
      </c>
      <c r="DX9" s="22">
        <f t="shared" si="28"/>
        <v>5.5757575757575761</v>
      </c>
      <c r="DY9" s="22">
        <f t="shared" si="29"/>
        <v>16.606060606060606</v>
      </c>
      <c r="DZ9" s="19">
        <f t="shared" si="30"/>
        <v>0.41515086221814562</v>
      </c>
      <c r="EA9" s="23">
        <f t="shared" si="31"/>
        <v>0</v>
      </c>
      <c r="EB9" s="19">
        <f t="shared" si="32"/>
        <v>2.9782608695652173</v>
      </c>
      <c r="EC9" s="19"/>
      <c r="ED9" s="19"/>
      <c r="EE9" s="19">
        <f t="shared" si="33"/>
        <v>44.868107486235523</v>
      </c>
      <c r="EF9" s="19">
        <f t="shared" si="34"/>
        <v>1.1812803024077574</v>
      </c>
      <c r="EG9" s="19">
        <f t="shared" si="35"/>
        <v>7.7348179801134034</v>
      </c>
      <c r="EH9" s="19">
        <f t="shared" si="36"/>
        <v>8.1272084805653719</v>
      </c>
      <c r="EI9" s="19">
        <f t="shared" si="37"/>
        <v>0.1232640315555921</v>
      </c>
      <c r="EJ9" s="19">
        <f t="shared" si="38"/>
        <v>10.806146766373573</v>
      </c>
      <c r="EK9" s="19">
        <f t="shared" si="39"/>
        <v>15.377187936560114</v>
      </c>
      <c r="EL9" s="19">
        <f t="shared" si="40"/>
        <v>0.46224011833347034</v>
      </c>
      <c r="EM9" s="19">
        <f t="shared" si="41"/>
        <v>10.148738598077083</v>
      </c>
      <c r="EN9" s="19">
        <f t="shared" si="42"/>
        <v>1.1710082997781248</v>
      </c>
      <c r="EO9" s="19">
        <f t="shared" si="43"/>
        <v>100.00000000000003</v>
      </c>
    </row>
    <row r="10" spans="1:145" s="36" customFormat="1">
      <c r="A10" s="36" t="s">
        <v>225</v>
      </c>
      <c r="B10" s="1">
        <v>6</v>
      </c>
      <c r="D10" s="36" t="s">
        <v>180</v>
      </c>
      <c r="E10" s="36" t="s">
        <v>212</v>
      </c>
      <c r="F10" s="36">
        <v>0.46500000000000002</v>
      </c>
      <c r="G10" s="19">
        <v>43.43</v>
      </c>
      <c r="H10" s="19">
        <v>1.19</v>
      </c>
      <c r="I10" s="19">
        <v>8.4</v>
      </c>
      <c r="J10" s="19">
        <v>8.1715999999999998</v>
      </c>
      <c r="K10" s="19">
        <v>0.12</v>
      </c>
      <c r="L10" s="19">
        <v>10.5</v>
      </c>
      <c r="M10" s="19">
        <v>14.98</v>
      </c>
      <c r="N10" s="19">
        <v>0.4</v>
      </c>
      <c r="O10" s="19">
        <v>8.56</v>
      </c>
      <c r="P10" s="19">
        <v>1.26</v>
      </c>
      <c r="Q10" s="19">
        <v>3.27</v>
      </c>
      <c r="R10" s="19"/>
      <c r="S10" s="19">
        <f t="shared" si="1"/>
        <v>100.28160000000001</v>
      </c>
      <c r="U10" s="75"/>
      <c r="V10" s="75"/>
      <c r="W10" s="19"/>
      <c r="X10" s="19"/>
      <c r="Y10" s="19"/>
      <c r="Z10" s="19"/>
      <c r="AA10" s="19"/>
      <c r="AB10" s="22"/>
      <c r="AC10" s="22"/>
      <c r="AF10" s="19">
        <f t="shared" si="44"/>
        <v>0.74965877638855871</v>
      </c>
      <c r="AG10" s="20">
        <f t="shared" si="2"/>
        <v>7134.0499999999993</v>
      </c>
      <c r="AH10" s="20">
        <f t="shared" si="3"/>
        <v>71065.12000000001</v>
      </c>
      <c r="AI10" s="20">
        <f t="shared" si="4"/>
        <v>5498.64</v>
      </c>
      <c r="AJ10" s="19">
        <f t="shared" si="5"/>
        <v>8.9600000000000009</v>
      </c>
      <c r="AK10" s="19">
        <f t="shared" si="6"/>
        <v>21.4</v>
      </c>
      <c r="AL10" s="19">
        <f t="shared" si="7"/>
        <v>4.6728971962616821E-2</v>
      </c>
      <c r="AM10" s="19">
        <f t="shared" si="8"/>
        <v>1.7833333333333334</v>
      </c>
      <c r="AN10" s="19">
        <f t="shared" si="9"/>
        <v>1.019047619047619</v>
      </c>
      <c r="AO10" s="19">
        <f t="shared" si="10"/>
        <v>1.1813302029879804</v>
      </c>
      <c r="AP10" s="19">
        <f t="shared" si="11"/>
        <v>0.84650337176740631</v>
      </c>
      <c r="AQ10" s="19">
        <f t="shared" si="12"/>
        <v>0.22605823915780346</v>
      </c>
      <c r="AR10" s="20">
        <f t="shared" si="45"/>
        <v>531.75187217151461</v>
      </c>
      <c r="AS10" s="20">
        <f t="shared" si="46"/>
        <v>2359.0712073027512</v>
      </c>
      <c r="AT10" s="20"/>
      <c r="AU10" s="19">
        <f t="shared" si="13"/>
        <v>0.19709877964540642</v>
      </c>
      <c r="AV10" s="19">
        <f t="shared" si="14"/>
        <v>1.1029946415933676</v>
      </c>
      <c r="AX10" s="20">
        <v>563</v>
      </c>
      <c r="AY10" s="20">
        <v>3649</v>
      </c>
      <c r="AZ10" s="20">
        <v>4388</v>
      </c>
      <c r="BA10" s="22"/>
      <c r="BB10" s="22"/>
      <c r="BC10" s="22">
        <v>49</v>
      </c>
      <c r="BD10" s="22">
        <v>52</v>
      </c>
      <c r="BE10" s="22"/>
      <c r="BF10" s="22">
        <v>79</v>
      </c>
      <c r="BG10" s="22"/>
      <c r="BH10" s="22"/>
      <c r="BI10" s="36">
        <v>60</v>
      </c>
      <c r="BJ10" s="20">
        <v>835</v>
      </c>
      <c r="BK10" s="20">
        <v>46</v>
      </c>
      <c r="BL10" s="22"/>
      <c r="BM10" s="22"/>
      <c r="BN10" s="20">
        <v>295</v>
      </c>
      <c r="BO10" s="20">
        <v>486</v>
      </c>
      <c r="BP10" s="20"/>
      <c r="BQ10" s="22"/>
      <c r="BR10" s="22"/>
      <c r="BS10" s="22"/>
      <c r="BT10" s="22"/>
      <c r="BU10" s="22"/>
      <c r="BV10" s="22"/>
      <c r="BW10" s="19"/>
      <c r="BX10" s="19"/>
      <c r="BY10" s="19"/>
      <c r="BZ10" s="22"/>
      <c r="CA10" s="19"/>
      <c r="CB10" s="20"/>
      <c r="CC10" s="20">
        <v>134</v>
      </c>
      <c r="CD10" s="22"/>
      <c r="CE10" s="22"/>
      <c r="CG10" s="22">
        <f t="shared" si="15"/>
        <v>1219.0082644628098</v>
      </c>
      <c r="CH10" s="22">
        <f t="shared" si="16"/>
        <v>765.35433070866145</v>
      </c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>
        <f t="shared" si="17"/>
        <v>95.391304347826093</v>
      </c>
      <c r="CV10" s="22">
        <f t="shared" si="18"/>
        <v>14.874576271186442</v>
      </c>
      <c r="CW10" s="22">
        <f t="shared" si="19"/>
        <v>6.4130434782608692</v>
      </c>
      <c r="CX10" s="20">
        <f t="shared" si="20"/>
        <v>155.08804347826086</v>
      </c>
      <c r="CY10" s="22"/>
      <c r="CZ10" s="22"/>
      <c r="DA10" s="22"/>
      <c r="DB10" s="22">
        <f t="shared" si="21"/>
        <v>18.152173913043477</v>
      </c>
      <c r="DC10" s="22">
        <f t="shared" si="22"/>
        <v>32.746268656716417</v>
      </c>
      <c r="DD10" s="22"/>
      <c r="DE10" s="22"/>
      <c r="DF10" s="22"/>
      <c r="DG10" s="19">
        <f t="shared" si="23"/>
        <v>0.76666666666666672</v>
      </c>
      <c r="DH10" s="20">
        <f t="shared" si="24"/>
        <v>240.89871186440681</v>
      </c>
      <c r="DI10" s="19"/>
      <c r="DJ10" s="22"/>
      <c r="DK10" s="22"/>
      <c r="DL10" s="22"/>
      <c r="DM10" s="22"/>
      <c r="DN10" s="76"/>
      <c r="DO10" s="22"/>
      <c r="DP10" s="20"/>
      <c r="DQ10" s="22"/>
      <c r="DR10" s="22"/>
      <c r="DS10" s="19"/>
      <c r="DT10" s="23">
        <f t="shared" si="25"/>
        <v>2.7404768429706771E-4</v>
      </c>
      <c r="DU10" s="22">
        <f t="shared" si="26"/>
        <v>13.916666666666666</v>
      </c>
      <c r="DV10" s="22"/>
      <c r="DW10" s="22">
        <f t="shared" si="27"/>
        <v>-0.57098105089398943</v>
      </c>
      <c r="DX10" s="22">
        <f t="shared" si="28"/>
        <v>5.5089820359281436</v>
      </c>
      <c r="DY10" s="22">
        <f t="shared" si="29"/>
        <v>16.047904191616766</v>
      </c>
      <c r="DZ10" s="19">
        <f t="shared" si="30"/>
        <v>0.42316942620986292</v>
      </c>
      <c r="EA10" s="23">
        <f t="shared" si="31"/>
        <v>0</v>
      </c>
      <c r="EB10" s="19">
        <f t="shared" si="32"/>
        <v>2.9130434782608696</v>
      </c>
      <c r="EC10" s="19"/>
      <c r="ED10" s="19"/>
      <c r="EE10" s="19">
        <f t="shared" si="33"/>
        <v>44.767842196190962</v>
      </c>
      <c r="EF10" s="19">
        <f t="shared" si="34"/>
        <v>1.2266574306577769</v>
      </c>
      <c r="EG10" s="19">
        <f t="shared" si="35"/>
        <v>8.6587583340548946</v>
      </c>
      <c r="EH10" s="19">
        <f t="shared" si="36"/>
        <v>8.4233225717336886</v>
      </c>
      <c r="EI10" s="19">
        <f t="shared" si="37"/>
        <v>0.12369654762935564</v>
      </c>
      <c r="EJ10" s="19">
        <f t="shared" si="38"/>
        <v>10.823447917568618</v>
      </c>
      <c r="EK10" s="19">
        <f t="shared" si="39"/>
        <v>15.441452362397897</v>
      </c>
      <c r="EL10" s="19">
        <f t="shared" si="40"/>
        <v>0.41232182543118551</v>
      </c>
      <c r="EM10" s="19">
        <f t="shared" si="41"/>
        <v>8.8236870642273697</v>
      </c>
      <c r="EN10" s="19">
        <f t="shared" si="42"/>
        <v>1.2988137501082342</v>
      </c>
      <c r="EO10" s="19">
        <f t="shared" si="43"/>
        <v>100</v>
      </c>
    </row>
    <row r="11" spans="1:145" s="36" customFormat="1">
      <c r="A11" s="36" t="s">
        <v>225</v>
      </c>
      <c r="B11" s="1">
        <v>6</v>
      </c>
      <c r="D11" s="36" t="s">
        <v>180</v>
      </c>
      <c r="E11" s="36" t="s">
        <v>212</v>
      </c>
      <c r="F11" s="36">
        <v>0.46500000000000002</v>
      </c>
      <c r="G11" s="19">
        <v>43.98</v>
      </c>
      <c r="H11" s="19">
        <v>1.1599999999999999</v>
      </c>
      <c r="I11" s="19">
        <v>8.5500000000000007</v>
      </c>
      <c r="J11" s="19">
        <v>8.1304999999999996</v>
      </c>
      <c r="K11" s="19">
        <v>0.12</v>
      </c>
      <c r="L11" s="19">
        <v>10.86</v>
      </c>
      <c r="M11" s="19">
        <v>14.91</v>
      </c>
      <c r="N11" s="19">
        <v>0.4</v>
      </c>
      <c r="O11" s="19">
        <v>8.01</v>
      </c>
      <c r="P11" s="19">
        <v>1.24</v>
      </c>
      <c r="Q11" s="19">
        <v>2.74</v>
      </c>
      <c r="R11" s="19"/>
      <c r="S11" s="19">
        <f t="shared" si="1"/>
        <v>100.1005</v>
      </c>
      <c r="U11" s="75"/>
      <c r="V11" s="75"/>
      <c r="W11" s="19"/>
      <c r="X11" s="19"/>
      <c r="Y11" s="19"/>
      <c r="Z11" s="19"/>
      <c r="AA11" s="19"/>
      <c r="AB11" s="22"/>
      <c r="AC11" s="22"/>
      <c r="AF11" s="19">
        <f t="shared" si="44"/>
        <v>0.75686105500924783</v>
      </c>
      <c r="AG11" s="20">
        <f t="shared" si="2"/>
        <v>6954.2</v>
      </c>
      <c r="AH11" s="20">
        <f t="shared" si="3"/>
        <v>66499.02</v>
      </c>
      <c r="AI11" s="20">
        <f t="shared" si="4"/>
        <v>5411.36</v>
      </c>
      <c r="AJ11" s="19">
        <f t="shared" si="5"/>
        <v>8.41</v>
      </c>
      <c r="AK11" s="19">
        <f t="shared" si="6"/>
        <v>20.024999999999999</v>
      </c>
      <c r="AL11" s="19">
        <f t="shared" si="7"/>
        <v>4.9937578027465672E-2</v>
      </c>
      <c r="AM11" s="19">
        <f t="shared" si="8"/>
        <v>1.7438596491228069</v>
      </c>
      <c r="AN11" s="19">
        <f t="shared" si="9"/>
        <v>0.93684210526315781</v>
      </c>
      <c r="AO11" s="19">
        <f t="shared" si="10"/>
        <v>1.0909784619266323</v>
      </c>
      <c r="AP11" s="19">
        <f t="shared" si="11"/>
        <v>0.91660837944869478</v>
      </c>
      <c r="AQ11" s="19">
        <f t="shared" si="12"/>
        <v>0.23465809519328629</v>
      </c>
      <c r="AR11" s="20">
        <f t="shared" si="45"/>
        <v>701.2183212251249</v>
      </c>
      <c r="AS11" s="20">
        <f t="shared" si="46"/>
        <v>2364.2973871678346</v>
      </c>
      <c r="AT11" s="20"/>
      <c r="AU11" s="19">
        <f t="shared" si="13"/>
        <v>0.18212824010914053</v>
      </c>
      <c r="AV11" s="19">
        <f t="shared" si="14"/>
        <v>1.0140172086266621</v>
      </c>
      <c r="AX11" s="20">
        <v>581</v>
      </c>
      <c r="AY11" s="20">
        <v>3611</v>
      </c>
      <c r="AZ11" s="20">
        <v>4557</v>
      </c>
      <c r="BA11" s="22"/>
      <c r="BB11" s="22"/>
      <c r="BC11" s="22">
        <v>41</v>
      </c>
      <c r="BD11" s="22">
        <v>51</v>
      </c>
      <c r="BE11" s="22"/>
      <c r="BF11" s="22">
        <v>80</v>
      </c>
      <c r="BG11" s="22"/>
      <c r="BH11" s="22"/>
      <c r="BI11" s="36">
        <v>59</v>
      </c>
      <c r="BJ11" s="20">
        <v>842</v>
      </c>
      <c r="BK11" s="20">
        <v>47</v>
      </c>
      <c r="BL11" s="22"/>
      <c r="BM11" s="22"/>
      <c r="BN11" s="20">
        <v>296</v>
      </c>
      <c r="BO11" s="20">
        <v>481</v>
      </c>
      <c r="BP11" s="20"/>
      <c r="BQ11" s="22"/>
      <c r="BR11" s="22"/>
      <c r="BS11" s="22"/>
      <c r="BT11" s="22"/>
      <c r="BU11" s="22"/>
      <c r="BV11" s="22"/>
      <c r="BW11" s="19"/>
      <c r="BX11" s="19"/>
      <c r="BY11" s="19"/>
      <c r="BZ11" s="22"/>
      <c r="CA11" s="19"/>
      <c r="CB11" s="20"/>
      <c r="CC11" s="20">
        <v>135</v>
      </c>
      <c r="CD11" s="22"/>
      <c r="CE11" s="22"/>
      <c r="CG11" s="22">
        <f t="shared" si="15"/>
        <v>1223.1404958677685</v>
      </c>
      <c r="CH11" s="22">
        <f t="shared" si="16"/>
        <v>757.48031496062993</v>
      </c>
      <c r="CI11" s="22"/>
      <c r="CJ11" s="22"/>
      <c r="CK11" s="22"/>
      <c r="CL11" s="22"/>
      <c r="CM11" s="22"/>
      <c r="CN11" s="22"/>
      <c r="CO11" s="22"/>
      <c r="CP11" s="22"/>
      <c r="CQ11" s="22"/>
      <c r="CR11" s="22"/>
      <c r="CS11" s="22"/>
      <c r="CT11" s="22"/>
      <c r="CU11" s="22">
        <f t="shared" si="17"/>
        <v>96.957446808510639</v>
      </c>
      <c r="CV11" s="22">
        <f t="shared" si="18"/>
        <v>15.39527027027027</v>
      </c>
      <c r="CW11" s="22">
        <f t="shared" si="19"/>
        <v>6.2978723404255321</v>
      </c>
      <c r="CX11" s="20">
        <f t="shared" si="20"/>
        <v>147.96170212765958</v>
      </c>
      <c r="CY11" s="22"/>
      <c r="CZ11" s="22"/>
      <c r="DA11" s="22"/>
      <c r="DB11" s="22">
        <f t="shared" si="21"/>
        <v>17.914893617021278</v>
      </c>
      <c r="DC11" s="22">
        <f t="shared" si="22"/>
        <v>33.755555555555553</v>
      </c>
      <c r="DD11" s="22"/>
      <c r="DE11" s="22"/>
      <c r="DF11" s="22"/>
      <c r="DG11" s="19">
        <f t="shared" si="23"/>
        <v>0.79661016949152541</v>
      </c>
      <c r="DH11" s="20">
        <f t="shared" si="24"/>
        <v>224.65885135135136</v>
      </c>
      <c r="DI11" s="19"/>
      <c r="DJ11" s="22"/>
      <c r="DK11" s="22"/>
      <c r="DL11" s="22"/>
      <c r="DM11" s="22"/>
      <c r="DN11" s="76"/>
      <c r="DO11" s="22"/>
      <c r="DP11" s="20"/>
      <c r="DQ11" s="22"/>
      <c r="DR11" s="22"/>
      <c r="DS11" s="19"/>
      <c r="DT11" s="23">
        <f t="shared" si="25"/>
        <v>2.7693159789531985E-4</v>
      </c>
      <c r="DU11" s="22">
        <f t="shared" si="26"/>
        <v>14.271186440677965</v>
      </c>
      <c r="DV11" s="22"/>
      <c r="DW11" s="22">
        <f t="shared" si="27"/>
        <v>-0.57531750703283691</v>
      </c>
      <c r="DX11" s="22">
        <f t="shared" si="28"/>
        <v>5.5819477434679339</v>
      </c>
      <c r="DY11" s="22">
        <f t="shared" si="29"/>
        <v>16.033254156769598</v>
      </c>
      <c r="DZ11" s="19">
        <f t="shared" si="30"/>
        <v>0.4240991084289028</v>
      </c>
      <c r="EA11" s="23">
        <f t="shared" si="31"/>
        <v>0</v>
      </c>
      <c r="EB11" s="19">
        <f t="shared" si="32"/>
        <v>2.8723404255319149</v>
      </c>
      <c r="EC11" s="19"/>
      <c r="ED11" s="19"/>
      <c r="EE11" s="19">
        <f t="shared" si="33"/>
        <v>45.172323478207282</v>
      </c>
      <c r="EF11" s="19">
        <f t="shared" si="34"/>
        <v>1.1914482772787731</v>
      </c>
      <c r="EG11" s="19">
        <f t="shared" si="35"/>
        <v>8.7817954920116481</v>
      </c>
      <c r="EH11" s="19">
        <f t="shared" si="36"/>
        <v>8.3509226020819529</v>
      </c>
      <c r="EI11" s="19">
        <f t="shared" si="37"/>
        <v>0.12325327006332136</v>
      </c>
      <c r="EJ11" s="19">
        <f t="shared" si="38"/>
        <v>11.154420940730583</v>
      </c>
      <c r="EK11" s="19">
        <f t="shared" si="39"/>
        <v>15.31421880536768</v>
      </c>
      <c r="EL11" s="19">
        <f t="shared" si="40"/>
        <v>0.41084423354440452</v>
      </c>
      <c r="EM11" s="19">
        <f t="shared" si="41"/>
        <v>8.2271557767267005</v>
      </c>
      <c r="EN11" s="19">
        <f t="shared" si="42"/>
        <v>1.2736171239876541</v>
      </c>
      <c r="EO11" s="19">
        <f t="shared" si="43"/>
        <v>100</v>
      </c>
    </row>
    <row r="12" spans="1:145" s="36" customFormat="1">
      <c r="A12" s="36" t="s">
        <v>225</v>
      </c>
      <c r="B12" s="1">
        <v>6</v>
      </c>
      <c r="D12" s="36" t="s">
        <v>267</v>
      </c>
      <c r="E12" s="36" t="s">
        <v>63</v>
      </c>
      <c r="F12" s="36">
        <v>0.46500000000000002</v>
      </c>
      <c r="G12" s="19">
        <v>44.49</v>
      </c>
      <c r="H12" s="19">
        <v>1.1100000000000001</v>
      </c>
      <c r="I12" s="19">
        <v>7.92</v>
      </c>
      <c r="J12" s="19">
        <v>7.9783999999999997</v>
      </c>
      <c r="K12" s="19">
        <v>0.11</v>
      </c>
      <c r="L12" s="19">
        <v>10.38</v>
      </c>
      <c r="M12" s="19">
        <v>14.68</v>
      </c>
      <c r="N12" s="19">
        <v>0.32</v>
      </c>
      <c r="O12" s="19">
        <v>9.5500000000000007</v>
      </c>
      <c r="P12" s="19">
        <v>1.34</v>
      </c>
      <c r="Q12" s="19">
        <v>2.48</v>
      </c>
      <c r="R12" s="19"/>
      <c r="S12" s="19">
        <f t="shared" si="1"/>
        <v>100.35839999999999</v>
      </c>
      <c r="U12" s="75">
        <v>0.71127741211343976</v>
      </c>
      <c r="V12" s="75">
        <v>0.5121</v>
      </c>
      <c r="W12" s="19">
        <v>18.739999999999998</v>
      </c>
      <c r="X12" s="19">
        <v>15.663</v>
      </c>
      <c r="Y12" s="19">
        <v>38.953000000000003</v>
      </c>
      <c r="Z12" s="19">
        <f>Y12/W12</f>
        <v>2.0786019210245468</v>
      </c>
      <c r="AA12" s="19">
        <f>X12/W12</f>
        <v>0.83580576307363941</v>
      </c>
      <c r="AB12" s="22">
        <f>(X12-((0.1084*W12)+13.491))*100</f>
        <v>14.058400000000049</v>
      </c>
      <c r="AC12" s="22">
        <f>(Y12-(1.209*W12+15.627))*100</f>
        <v>66.934000000000538</v>
      </c>
      <c r="AF12" s="19">
        <f t="shared" si="44"/>
        <v>0.75198473262196697</v>
      </c>
      <c r="AG12" s="20">
        <f t="shared" si="2"/>
        <v>6654.4500000000007</v>
      </c>
      <c r="AH12" s="20">
        <f t="shared" si="3"/>
        <v>79284.100000000006</v>
      </c>
      <c r="AI12" s="20">
        <f t="shared" si="4"/>
        <v>5847.76</v>
      </c>
      <c r="AJ12" s="19">
        <f t="shared" si="5"/>
        <v>9.870000000000001</v>
      </c>
      <c r="AK12" s="19">
        <f t="shared" si="6"/>
        <v>29.84375</v>
      </c>
      <c r="AL12" s="19">
        <f t="shared" si="7"/>
        <v>3.3507853403141358E-2</v>
      </c>
      <c r="AM12" s="19">
        <f t="shared" si="8"/>
        <v>1.8535353535353536</v>
      </c>
      <c r="AN12" s="19">
        <f t="shared" si="9"/>
        <v>1.2058080808080809</v>
      </c>
      <c r="AO12" s="19">
        <f t="shared" si="10"/>
        <v>1.3716065785458933</v>
      </c>
      <c r="AP12" s="19">
        <f t="shared" si="11"/>
        <v>0.72907203540839571</v>
      </c>
      <c r="AQ12" s="19">
        <f t="shared" si="12"/>
        <v>0.21090146865573425</v>
      </c>
      <c r="AR12" s="20">
        <f t="shared" si="45"/>
        <v>398.92587791176703</v>
      </c>
      <c r="AS12" s="20">
        <f t="shared" si="46"/>
        <v>2289.6828381282744</v>
      </c>
      <c r="AT12" s="20"/>
      <c r="AU12" s="19">
        <f t="shared" si="13"/>
        <v>0.21465497864688696</v>
      </c>
      <c r="AV12" s="19">
        <f t="shared" si="14"/>
        <v>1.3051400416050098</v>
      </c>
      <c r="AX12" s="20">
        <v>509</v>
      </c>
      <c r="AY12" s="20">
        <v>3758</v>
      </c>
      <c r="AZ12" s="20">
        <v>3980</v>
      </c>
      <c r="BA12" s="22">
        <v>74</v>
      </c>
      <c r="BB12" s="22">
        <v>16.600000000000001</v>
      </c>
      <c r="BC12" s="22">
        <v>72</v>
      </c>
      <c r="BD12" s="22">
        <v>65</v>
      </c>
      <c r="BE12" s="22">
        <v>34.700000000000003</v>
      </c>
      <c r="BF12" s="22">
        <v>87</v>
      </c>
      <c r="BG12" s="22"/>
      <c r="BH12" s="22"/>
      <c r="BI12" s="36">
        <v>44</v>
      </c>
      <c r="BJ12" s="20">
        <v>848</v>
      </c>
      <c r="BK12" s="20">
        <v>47</v>
      </c>
      <c r="BL12" s="22">
        <v>22.9</v>
      </c>
      <c r="BM12" s="22">
        <v>3.3</v>
      </c>
      <c r="BN12" s="20">
        <v>257</v>
      </c>
      <c r="BO12" s="20">
        <v>526</v>
      </c>
      <c r="BP12" s="20"/>
      <c r="BQ12" s="22">
        <v>248</v>
      </c>
      <c r="BR12" s="22">
        <v>38.9</v>
      </c>
      <c r="BS12" s="22">
        <v>6.79</v>
      </c>
      <c r="BT12" s="22"/>
      <c r="BU12" s="22">
        <v>2.5</v>
      </c>
      <c r="BV12" s="22"/>
      <c r="BW12" s="19"/>
      <c r="BX12" s="19"/>
      <c r="BY12" s="19"/>
      <c r="BZ12" s="22">
        <v>2.9</v>
      </c>
      <c r="CA12" s="19">
        <v>0.59</v>
      </c>
      <c r="CB12" s="20">
        <v>36.19047619047619</v>
      </c>
      <c r="CC12" s="20">
        <v>112.433333333333</v>
      </c>
      <c r="CD12" s="22">
        <v>28</v>
      </c>
      <c r="CE12" s="22"/>
      <c r="CG12" s="22">
        <f t="shared" si="15"/>
        <v>1061.9834710743803</v>
      </c>
      <c r="CH12" s="22">
        <f t="shared" si="16"/>
        <v>828.34645669291342</v>
      </c>
      <c r="CI12" s="22"/>
      <c r="CJ12" s="22">
        <f>BQ12/0.48</f>
        <v>516.66666666666674</v>
      </c>
      <c r="CK12" s="22">
        <f>BR12/0.156</f>
        <v>249.35897435897434</v>
      </c>
      <c r="CL12" s="22">
        <f>BS12/0.0591</f>
        <v>114.89001692047377</v>
      </c>
      <c r="CM12" s="22"/>
      <c r="CN12" s="22">
        <f>BU12/0.0376</f>
        <v>66.489361702127653</v>
      </c>
      <c r="CO12" s="22"/>
      <c r="CP12" s="22"/>
      <c r="CQ12" s="22"/>
      <c r="CR12" s="22"/>
      <c r="CS12" s="22">
        <f>BZ12/0.166</f>
        <v>17.469879518072286</v>
      </c>
      <c r="CT12" s="22">
        <f>CA12/0.024</f>
        <v>24.583333333333332</v>
      </c>
      <c r="CU12" s="22">
        <f t="shared" si="17"/>
        <v>84.680851063829792</v>
      </c>
      <c r="CV12" s="22">
        <f t="shared" si="18"/>
        <v>15.486381322957198</v>
      </c>
      <c r="CW12" s="22">
        <f t="shared" si="19"/>
        <v>5.4680851063829783</v>
      </c>
      <c r="CX12" s="20">
        <f t="shared" si="20"/>
        <v>141.58404255319149</v>
      </c>
      <c r="CY12" s="22">
        <f>BO12/CB12</f>
        <v>14.534210526315789</v>
      </c>
      <c r="CZ12" s="22">
        <f>BK12/CD12</f>
        <v>1.6785714285714286</v>
      </c>
      <c r="DA12" s="22">
        <f>AX12/BR12</f>
        <v>13.084832904884319</v>
      </c>
      <c r="DB12" s="22">
        <f t="shared" si="21"/>
        <v>18.042553191489361</v>
      </c>
      <c r="DC12" s="22">
        <f t="shared" si="22"/>
        <v>35.39875481766984</v>
      </c>
      <c r="DD12" s="22">
        <f>CC12/BM12</f>
        <v>34.070707070706973</v>
      </c>
      <c r="DE12" s="22">
        <f>BM12/BZ12</f>
        <v>1.1379310344827587</v>
      </c>
      <c r="DF12" s="22">
        <f>CC12/BZ12</f>
        <v>38.770114942528622</v>
      </c>
      <c r="DG12" s="19">
        <f t="shared" si="23"/>
        <v>1.0681818181818181</v>
      </c>
      <c r="DH12" s="20">
        <f t="shared" si="24"/>
        <v>308.49844357976656</v>
      </c>
      <c r="DI12" s="19">
        <f>(BK12/0.46)/((O12/0.023)*(CD12/0.017))^0.5</f>
        <v>0.12355140927285889</v>
      </c>
      <c r="DJ12" s="22">
        <f>BN12/CA12</f>
        <v>435.59322033898309</v>
      </c>
      <c r="DK12" s="22">
        <f>CG12/CT12</f>
        <v>43.199327636923947</v>
      </c>
      <c r="DL12" s="22">
        <f>CG12/CK12</f>
        <v>4.2588540228175669</v>
      </c>
      <c r="DM12" s="22">
        <f>BN12/BZ12</f>
        <v>88.620689655172413</v>
      </c>
      <c r="DN12" s="76">
        <f>BL12/BQ12</f>
        <v>9.2338709677419348E-2</v>
      </c>
      <c r="DO12" s="22">
        <f>BR12/BZ12</f>
        <v>13.413793103448276</v>
      </c>
      <c r="DP12" s="20">
        <f>AY12/BZ12</f>
        <v>1295.8620689655172</v>
      </c>
      <c r="DQ12" s="22">
        <f>AY12/BQ12</f>
        <v>15.153225806451612</v>
      </c>
      <c r="DR12" s="22"/>
      <c r="DS12" s="19"/>
      <c r="DT12" s="23">
        <f t="shared" si="25"/>
        <v>2.6609898882384245E-4</v>
      </c>
      <c r="DU12" s="22">
        <f t="shared" si="26"/>
        <v>19.272727272727273</v>
      </c>
      <c r="DV12" s="22">
        <f>BK12/BM12</f>
        <v>14.242424242424244</v>
      </c>
      <c r="DW12" s="22">
        <f t="shared" si="27"/>
        <v>-0.69844571602988048</v>
      </c>
      <c r="DX12" s="22">
        <f t="shared" si="28"/>
        <v>5.5424528301886795</v>
      </c>
      <c r="DY12" s="22">
        <f t="shared" si="29"/>
        <v>13.258647798742098</v>
      </c>
      <c r="DZ12" s="19">
        <f t="shared" si="30"/>
        <v>0.39910063465831153</v>
      </c>
      <c r="EA12" s="23">
        <f t="shared" si="31"/>
        <v>0.28793774319066145</v>
      </c>
      <c r="EB12" s="19">
        <f t="shared" si="32"/>
        <v>2.3921985815602764</v>
      </c>
      <c r="EC12" s="19"/>
      <c r="ED12" s="19"/>
      <c r="EE12" s="19">
        <f t="shared" si="33"/>
        <v>45.454359695295395</v>
      </c>
      <c r="EF12" s="19">
        <f t="shared" si="34"/>
        <v>1.1340602216627982</v>
      </c>
      <c r="EG12" s="19">
        <f t="shared" si="35"/>
        <v>8.0916729329453698</v>
      </c>
      <c r="EH12" s="19">
        <f t="shared" si="36"/>
        <v>8.1513388040670876</v>
      </c>
      <c r="EI12" s="19">
        <f t="shared" si="37"/>
        <v>0.11238434629090792</v>
      </c>
      <c r="EJ12" s="19">
        <f t="shared" si="38"/>
        <v>10.60499558636022</v>
      </c>
      <c r="EK12" s="19">
        <f t="shared" si="39"/>
        <v>14.998201850459347</v>
      </c>
      <c r="EL12" s="19">
        <f t="shared" si="40"/>
        <v>0.32693628011900483</v>
      </c>
      <c r="EM12" s="19">
        <f t="shared" si="41"/>
        <v>9.7570046098015517</v>
      </c>
      <c r="EN12" s="19">
        <f t="shared" si="42"/>
        <v>1.3690456729983329</v>
      </c>
      <c r="EO12" s="19">
        <f t="shared" si="43"/>
        <v>100.00000000000003</v>
      </c>
    </row>
    <row r="13" spans="1:145" s="36" customFormat="1">
      <c r="A13" s="36" t="s">
        <v>225</v>
      </c>
      <c r="B13" s="1">
        <v>6</v>
      </c>
      <c r="D13" s="36" t="s">
        <v>267</v>
      </c>
      <c r="E13" s="36" t="s">
        <v>63</v>
      </c>
      <c r="F13" s="36">
        <v>0.46500000000000002</v>
      </c>
      <c r="G13" s="19">
        <v>44.88</v>
      </c>
      <c r="H13" s="19">
        <v>1.08</v>
      </c>
      <c r="I13" s="19">
        <v>7.86</v>
      </c>
      <c r="J13" s="19">
        <v>7.4627999999999997</v>
      </c>
      <c r="K13" s="19">
        <v>0.11</v>
      </c>
      <c r="L13" s="19">
        <v>10.28</v>
      </c>
      <c r="M13" s="19">
        <v>13.96</v>
      </c>
      <c r="N13" s="19">
        <v>0.31</v>
      </c>
      <c r="O13" s="19">
        <v>8.41</v>
      </c>
      <c r="P13" s="19">
        <v>1.4</v>
      </c>
      <c r="Q13" s="19">
        <v>4.51</v>
      </c>
      <c r="R13" s="19"/>
      <c r="S13" s="19">
        <f t="shared" si="1"/>
        <v>100.26280000000001</v>
      </c>
      <c r="U13" s="75"/>
      <c r="V13" s="75"/>
      <c r="W13" s="19"/>
      <c r="X13" s="19"/>
      <c r="Y13" s="19"/>
      <c r="Z13" s="19"/>
      <c r="AA13" s="19"/>
      <c r="AB13" s="22"/>
      <c r="AC13" s="22"/>
      <c r="AF13" s="19">
        <f t="shared" si="44"/>
        <v>0.76248504560106889</v>
      </c>
      <c r="AG13" s="20">
        <f t="shared" si="2"/>
        <v>6474.6</v>
      </c>
      <c r="AH13" s="20">
        <f t="shared" si="3"/>
        <v>69819.820000000007</v>
      </c>
      <c r="AI13" s="20">
        <f t="shared" si="4"/>
        <v>6109.5999999999995</v>
      </c>
      <c r="AJ13" s="19">
        <f t="shared" si="5"/>
        <v>8.7200000000000006</v>
      </c>
      <c r="AK13" s="19">
        <f t="shared" si="6"/>
        <v>27.129032258064516</v>
      </c>
      <c r="AL13" s="19">
        <f t="shared" si="7"/>
        <v>3.6860879904875146E-2</v>
      </c>
      <c r="AM13" s="19">
        <f t="shared" si="8"/>
        <v>1.7760814249363868</v>
      </c>
      <c r="AN13" s="19">
        <f t="shared" si="9"/>
        <v>1.0699745547073791</v>
      </c>
      <c r="AO13" s="19">
        <f t="shared" si="10"/>
        <v>1.222997812489202</v>
      </c>
      <c r="AP13" s="19">
        <f t="shared" si="11"/>
        <v>0.81766295065129491</v>
      </c>
      <c r="AQ13" s="19">
        <f t="shared" si="12"/>
        <v>0.22461201411658085</v>
      </c>
      <c r="AR13" s="20">
        <f t="shared" si="45"/>
        <v>730.92949751252002</v>
      </c>
      <c r="AS13" s="20">
        <f t="shared" si="46"/>
        <v>2253.649402917647</v>
      </c>
      <c r="AT13" s="20"/>
      <c r="AU13" s="19">
        <f t="shared" si="13"/>
        <v>0.1873885918003565</v>
      </c>
      <c r="AV13" s="19">
        <f t="shared" si="14"/>
        <v>1.1581168322501525</v>
      </c>
      <c r="AX13" s="20">
        <v>516</v>
      </c>
      <c r="AY13" s="20">
        <v>3200</v>
      </c>
      <c r="AZ13" s="20">
        <v>4090</v>
      </c>
      <c r="BA13" s="22">
        <v>98.6</v>
      </c>
      <c r="BB13" s="22"/>
      <c r="BC13" s="22">
        <v>73</v>
      </c>
      <c r="BD13" s="22">
        <v>60</v>
      </c>
      <c r="BE13" s="22">
        <v>28</v>
      </c>
      <c r="BF13" s="22">
        <v>70</v>
      </c>
      <c r="BG13" s="22">
        <v>40</v>
      </c>
      <c r="BH13" s="22">
        <v>120</v>
      </c>
      <c r="BI13" s="36">
        <v>52.6</v>
      </c>
      <c r="BJ13" s="20">
        <v>519</v>
      </c>
      <c r="BK13" s="20">
        <v>43.1</v>
      </c>
      <c r="BL13" s="22">
        <v>12.1</v>
      </c>
      <c r="BM13" s="22">
        <v>3.29</v>
      </c>
      <c r="BN13" s="20">
        <v>279</v>
      </c>
      <c r="BO13" s="20">
        <v>526</v>
      </c>
      <c r="BP13" s="20">
        <v>64</v>
      </c>
      <c r="BQ13" s="22">
        <v>234</v>
      </c>
      <c r="BR13" s="22">
        <v>40.9</v>
      </c>
      <c r="BS13" s="22">
        <v>8.2799999999999994</v>
      </c>
      <c r="BT13" s="22">
        <v>28.8</v>
      </c>
      <c r="BU13" s="22">
        <v>3.18</v>
      </c>
      <c r="BV13" s="22">
        <v>13.4</v>
      </c>
      <c r="BW13" s="19">
        <v>1.93</v>
      </c>
      <c r="BX13" s="19">
        <v>4.53</v>
      </c>
      <c r="BY13" s="19">
        <v>0.53</v>
      </c>
      <c r="BZ13" s="22">
        <v>2.85</v>
      </c>
      <c r="CA13" s="19">
        <v>0.34899999999999998</v>
      </c>
      <c r="CB13" s="20">
        <v>128</v>
      </c>
      <c r="CC13" s="20">
        <v>108</v>
      </c>
      <c r="CD13" s="22">
        <v>23.8</v>
      </c>
      <c r="CE13" s="22">
        <v>18</v>
      </c>
      <c r="CG13" s="22">
        <f t="shared" si="15"/>
        <v>1152.8925619834711</v>
      </c>
      <c r="CH13" s="22">
        <f t="shared" si="16"/>
        <v>828.34645669291342</v>
      </c>
      <c r="CI13" s="22">
        <f>BP13/0.0963</f>
        <v>664.58982346832818</v>
      </c>
      <c r="CJ13" s="22">
        <f>BQ13/0.48</f>
        <v>487.5</v>
      </c>
      <c r="CK13" s="22">
        <f>BR13/0.156</f>
        <v>262.17948717948718</v>
      </c>
      <c r="CL13" s="22">
        <f>BS13/0.0591</f>
        <v>140.10152284263958</v>
      </c>
      <c r="CM13" s="22">
        <f>BT13/0.212</f>
        <v>135.84905660377359</v>
      </c>
      <c r="CN13" s="22">
        <f>BU13/0.0376</f>
        <v>84.574468085106389</v>
      </c>
      <c r="CO13" s="22">
        <f>BV13/0.259</f>
        <v>51.737451737451735</v>
      </c>
      <c r="CP13" s="22">
        <f>BW13/0.0585</f>
        <v>32.991452991452988</v>
      </c>
      <c r="CQ13" s="22">
        <f>BX13/0.163</f>
        <v>27.791411042944787</v>
      </c>
      <c r="CR13" s="22">
        <f>BY13/0.0256</f>
        <v>20.703125</v>
      </c>
      <c r="CS13" s="22">
        <f>BZ13/0.166</f>
        <v>17.168674698795179</v>
      </c>
      <c r="CT13" s="22">
        <f>CA13/0.024</f>
        <v>14.541666666666666</v>
      </c>
      <c r="CU13" s="22">
        <f t="shared" si="17"/>
        <v>94.895591647331784</v>
      </c>
      <c r="CV13" s="22">
        <f t="shared" si="18"/>
        <v>14.659498207885305</v>
      </c>
      <c r="CW13" s="22">
        <f t="shared" si="19"/>
        <v>6.4733178654292338</v>
      </c>
      <c r="CX13" s="20">
        <f t="shared" si="20"/>
        <v>150.22273781902553</v>
      </c>
      <c r="CY13" s="22">
        <f>BO13/CB13</f>
        <v>4.109375</v>
      </c>
      <c r="CZ13" s="22">
        <f>BK13/CD13</f>
        <v>1.8109243697478992</v>
      </c>
      <c r="DA13" s="22">
        <f>AX13/BR13</f>
        <v>12.616136919315403</v>
      </c>
      <c r="DB13" s="22">
        <f t="shared" si="21"/>
        <v>12.041763341067284</v>
      </c>
      <c r="DC13" s="22">
        <f t="shared" si="22"/>
        <v>37.870370370370374</v>
      </c>
      <c r="DD13" s="22">
        <f>CC13/BM13</f>
        <v>32.826747720364743</v>
      </c>
      <c r="DE13" s="22">
        <f>BM13/BZ13</f>
        <v>1.1543859649122807</v>
      </c>
      <c r="DF13" s="22">
        <f>CC13/BZ13</f>
        <v>37.89473684210526</v>
      </c>
      <c r="DG13" s="19">
        <f t="shared" si="23"/>
        <v>0.81939163498098855</v>
      </c>
      <c r="DH13" s="20">
        <f t="shared" si="24"/>
        <v>250.25025089605737</v>
      </c>
      <c r="DI13" s="19">
        <f>(BK13/0.46)/((O13/0.023)*(CD13/0.017))^0.5</f>
        <v>0.13095477561312674</v>
      </c>
      <c r="DJ13" s="22">
        <f>BN13/CA13</f>
        <v>799.42693409742128</v>
      </c>
      <c r="DK13" s="22">
        <f>CG13/CT13</f>
        <v>79.282009993132689</v>
      </c>
      <c r="DL13" s="22">
        <f>CG13/CK13</f>
        <v>4.3973408232132396</v>
      </c>
      <c r="DM13" s="22">
        <f>BN13/BZ13</f>
        <v>97.89473684210526</v>
      </c>
      <c r="DN13" s="76">
        <f>BL13/BQ13</f>
        <v>5.1709401709401706E-2</v>
      </c>
      <c r="DO13" s="22">
        <f>BR13/BZ13</f>
        <v>14.350877192982455</v>
      </c>
      <c r="DP13" s="20">
        <f>AY13/BZ13</f>
        <v>1122.8070175438595</v>
      </c>
      <c r="DQ13" s="22">
        <f>AY13/BQ13</f>
        <v>13.675213675213675</v>
      </c>
      <c r="DR13" s="22">
        <f>AY13/(((BR13/0.195)*(BT13/0.259))^0.5)</f>
        <v>20.953629869952756</v>
      </c>
      <c r="DS13" s="19">
        <f>(BS13/0.074)/(((BR13/0.195)*(BT13/0.259))^0.5)</f>
        <v>0.73266915254733456</v>
      </c>
      <c r="DT13" s="23">
        <f t="shared" si="25"/>
        <v>3.1250000000000001E-4</v>
      </c>
      <c r="DU13" s="22">
        <f t="shared" si="26"/>
        <v>9.8669201520912537</v>
      </c>
      <c r="DV13" s="22">
        <f>BK13/BM13</f>
        <v>13.100303951367781</v>
      </c>
      <c r="DW13" s="22">
        <f t="shared" si="27"/>
        <v>-0.25533717228686736</v>
      </c>
      <c r="DX13" s="22">
        <f t="shared" si="28"/>
        <v>8.3044315992292876</v>
      </c>
      <c r="DY13" s="22">
        <f t="shared" si="29"/>
        <v>20.809248554913296</v>
      </c>
      <c r="DZ13" s="19">
        <f t="shared" si="30"/>
        <v>0.45560025398735071</v>
      </c>
      <c r="EA13" s="23">
        <f t="shared" si="31"/>
        <v>0.35340501792114692</v>
      </c>
      <c r="EB13" s="19">
        <f t="shared" si="32"/>
        <v>2.5058004640371228</v>
      </c>
      <c r="EC13" s="19">
        <f>(CB13/0.144)/(CH13*CI13)^(1/2)</f>
        <v>1.1980215347827126</v>
      </c>
      <c r="ED13" s="19"/>
      <c r="EE13" s="19">
        <f t="shared" si="33"/>
        <v>46.870692031982351</v>
      </c>
      <c r="EF13" s="19">
        <f t="shared" si="34"/>
        <v>1.1279043537108053</v>
      </c>
      <c r="EG13" s="19">
        <f t="shared" si="35"/>
        <v>8.208637240895305</v>
      </c>
      <c r="EH13" s="19">
        <f t="shared" si="36"/>
        <v>7.7938190841416635</v>
      </c>
      <c r="EI13" s="19">
        <f t="shared" si="37"/>
        <v>0.11487914713721165</v>
      </c>
      <c r="EJ13" s="19">
        <f t="shared" si="38"/>
        <v>10.73597847791396</v>
      </c>
      <c r="EK13" s="19">
        <f t="shared" si="39"/>
        <v>14.579208127595223</v>
      </c>
      <c r="EL13" s="19">
        <f t="shared" si="40"/>
        <v>0.3237503237503237</v>
      </c>
      <c r="EM13" s="19">
        <f t="shared" si="41"/>
        <v>8.7830329765813637</v>
      </c>
      <c r="EN13" s="19">
        <f t="shared" si="42"/>
        <v>1.4620982362917845</v>
      </c>
      <c r="EO13" s="19">
        <f t="shared" si="43"/>
        <v>99.999999999999986</v>
      </c>
    </row>
    <row r="14" spans="1:145" s="36" customFormat="1">
      <c r="A14" s="36" t="s">
        <v>225</v>
      </c>
      <c r="B14" s="1">
        <v>6</v>
      </c>
      <c r="D14" s="36" t="s">
        <v>227</v>
      </c>
      <c r="E14" s="36" t="s">
        <v>192</v>
      </c>
      <c r="F14" s="36">
        <v>0.46500000000000002</v>
      </c>
      <c r="G14" s="19">
        <v>41.4</v>
      </c>
      <c r="H14" s="19">
        <v>1.19</v>
      </c>
      <c r="I14" s="19">
        <v>7.55</v>
      </c>
      <c r="J14" s="19">
        <v>7.6845000000000008</v>
      </c>
      <c r="K14" s="19">
        <v>0.14000000000000001</v>
      </c>
      <c r="L14" s="19">
        <v>11.2</v>
      </c>
      <c r="M14" s="19">
        <v>15.99</v>
      </c>
      <c r="N14" s="19">
        <v>0.55000000000000004</v>
      </c>
      <c r="O14" s="19">
        <v>5.33</v>
      </c>
      <c r="P14" s="19">
        <v>1.2</v>
      </c>
      <c r="Q14" s="19"/>
      <c r="R14" s="19"/>
      <c r="S14" s="19">
        <f t="shared" si="1"/>
        <v>92.234499999999983</v>
      </c>
      <c r="U14" s="76"/>
      <c r="V14" s="75"/>
      <c r="W14" s="19"/>
      <c r="X14" s="19"/>
      <c r="Y14" s="19"/>
      <c r="Z14" s="19"/>
      <c r="AA14" s="19"/>
      <c r="AB14" s="22"/>
      <c r="AC14" s="22"/>
      <c r="AF14" s="19">
        <f t="shared" si="44"/>
        <v>0.77255437445434838</v>
      </c>
      <c r="AG14" s="20">
        <f t="shared" si="2"/>
        <v>7134.0499999999993</v>
      </c>
      <c r="AH14" s="20">
        <f t="shared" si="3"/>
        <v>44249.66</v>
      </c>
      <c r="AI14" s="20">
        <f t="shared" si="4"/>
        <v>5236.8</v>
      </c>
      <c r="AJ14" s="19">
        <f t="shared" si="5"/>
        <v>5.88</v>
      </c>
      <c r="AK14" s="19">
        <f t="shared" si="6"/>
        <v>9.6909090909090896</v>
      </c>
      <c r="AL14" s="19">
        <f t="shared" si="7"/>
        <v>0.10318949343339588</v>
      </c>
      <c r="AM14" s="19">
        <f t="shared" si="8"/>
        <v>2.1178807947019869</v>
      </c>
      <c r="AN14" s="19">
        <f t="shared" si="9"/>
        <v>0.70596026490066233</v>
      </c>
      <c r="AO14" s="19">
        <f t="shared" si="10"/>
        <v>0.88395364822338329</v>
      </c>
      <c r="AP14" s="19">
        <f t="shared" si="11"/>
        <v>1.1312810372012749</v>
      </c>
      <c r="AQ14" s="19">
        <f t="shared" si="12"/>
        <v>0.21121515851442019</v>
      </c>
      <c r="AR14" s="20">
        <f t="shared" si="45"/>
        <v>1186.1271755983128</v>
      </c>
      <c r="AS14" s="20">
        <f t="shared" si="46"/>
        <v>2617.9996494451607</v>
      </c>
      <c r="AT14" s="20"/>
      <c r="AU14" s="19">
        <f t="shared" si="13"/>
        <v>0.128743961352657</v>
      </c>
      <c r="AV14" s="19">
        <f t="shared" si="14"/>
        <v>0.7641158026461945</v>
      </c>
      <c r="AX14" s="20">
        <v>581</v>
      </c>
      <c r="AY14" s="20">
        <v>4450</v>
      </c>
      <c r="AZ14" s="20">
        <v>5750</v>
      </c>
      <c r="BA14" s="22"/>
      <c r="BB14" s="22"/>
      <c r="BC14" s="22">
        <v>27</v>
      </c>
      <c r="BD14" s="22">
        <v>50</v>
      </c>
      <c r="BE14" s="22"/>
      <c r="BF14" s="22"/>
      <c r="BG14" s="22">
        <v>51</v>
      </c>
      <c r="BH14" s="22">
        <v>162</v>
      </c>
      <c r="BJ14" s="20">
        <v>841</v>
      </c>
      <c r="BK14" s="20"/>
      <c r="BL14" s="22"/>
      <c r="BM14" s="22"/>
      <c r="BN14" s="20"/>
      <c r="BO14" s="20"/>
      <c r="BP14" s="20"/>
      <c r="BQ14" s="22"/>
      <c r="BR14" s="22"/>
      <c r="BS14" s="22"/>
      <c r="BT14" s="22"/>
      <c r="BU14" s="22"/>
      <c r="BV14" s="22"/>
      <c r="BW14" s="19"/>
      <c r="BX14" s="19"/>
      <c r="BY14" s="19"/>
      <c r="BZ14" s="22"/>
      <c r="CA14" s="19"/>
      <c r="CB14" s="20">
        <v>187</v>
      </c>
      <c r="CC14" s="20">
        <v>146</v>
      </c>
      <c r="CD14" s="22">
        <v>30.8</v>
      </c>
      <c r="CE14" s="22"/>
      <c r="CG14" s="22"/>
      <c r="CH14" s="22"/>
      <c r="CI14" s="22"/>
      <c r="CJ14" s="22"/>
      <c r="CK14" s="22"/>
      <c r="CL14" s="22"/>
      <c r="CM14" s="22"/>
      <c r="CN14" s="22"/>
      <c r="CO14" s="22"/>
      <c r="CP14" s="22"/>
      <c r="CQ14" s="22"/>
      <c r="CR14" s="22"/>
      <c r="CS14" s="22"/>
      <c r="CT14" s="22"/>
      <c r="CU14" s="22"/>
      <c r="CV14" s="22"/>
      <c r="CW14" s="22"/>
      <c r="CX14" s="20"/>
      <c r="CY14" s="22"/>
      <c r="CZ14" s="22"/>
      <c r="DA14" s="22"/>
      <c r="DB14" s="22"/>
      <c r="DC14" s="22">
        <f t="shared" si="22"/>
        <v>39.38356164383562</v>
      </c>
      <c r="DD14" s="22"/>
      <c r="DE14" s="22"/>
      <c r="DF14" s="22"/>
      <c r="DG14" s="19"/>
      <c r="DH14" s="20"/>
      <c r="DI14" s="19"/>
      <c r="DJ14" s="22"/>
      <c r="DK14" s="22"/>
      <c r="DL14" s="22"/>
      <c r="DM14" s="22"/>
      <c r="DN14" s="76"/>
      <c r="DO14" s="22"/>
      <c r="DP14" s="20"/>
      <c r="DQ14" s="22"/>
      <c r="DR14" s="22"/>
      <c r="DS14" s="19"/>
      <c r="DT14" s="23">
        <f t="shared" si="25"/>
        <v>2.2471910112359551E-4</v>
      </c>
      <c r="DU14" s="22"/>
      <c r="DV14" s="22"/>
      <c r="DW14" s="22"/>
      <c r="DX14" s="22"/>
      <c r="DY14" s="22">
        <f t="shared" si="29"/>
        <v>17.360285374554103</v>
      </c>
      <c r="DZ14" s="19">
        <f t="shared" si="30"/>
        <v>0.38957856625951165</v>
      </c>
      <c r="EA14" s="23"/>
      <c r="EB14" s="19"/>
      <c r="EC14" s="19"/>
      <c r="ED14" s="19"/>
      <c r="EE14" s="19">
        <f t="shared" si="33"/>
        <v>44.885590532826662</v>
      </c>
      <c r="EF14" s="19">
        <f t="shared" si="34"/>
        <v>1.2901896795667567</v>
      </c>
      <c r="EG14" s="19">
        <f t="shared" si="35"/>
        <v>8.1856572106966503</v>
      </c>
      <c r="EH14" s="19">
        <f t="shared" si="36"/>
        <v>8.3314811702779341</v>
      </c>
      <c r="EI14" s="19">
        <f t="shared" si="37"/>
        <v>0.1517870211255008</v>
      </c>
      <c r="EJ14" s="19">
        <f t="shared" si="38"/>
        <v>12.142961690040064</v>
      </c>
      <c r="EK14" s="19">
        <f t="shared" si="39"/>
        <v>17.33624619854827</v>
      </c>
      <c r="EL14" s="19">
        <f t="shared" si="40"/>
        <v>0.59630615442161028</v>
      </c>
      <c r="EM14" s="19">
        <f t="shared" si="41"/>
        <v>5.7787487328494231</v>
      </c>
      <c r="EN14" s="19">
        <f t="shared" si="42"/>
        <v>1.3010316096471497</v>
      </c>
      <c r="EO14" s="19">
        <f t="shared" si="43"/>
        <v>100.00000000000001</v>
      </c>
    </row>
    <row r="15" spans="1:145" s="36" customFormat="1">
      <c r="A15" s="36" t="s">
        <v>225</v>
      </c>
      <c r="B15" s="1">
        <v>6</v>
      </c>
      <c r="D15" s="36" t="s">
        <v>227</v>
      </c>
      <c r="E15" s="36" t="s">
        <v>192</v>
      </c>
      <c r="F15" s="36">
        <v>0.46500000000000002</v>
      </c>
      <c r="G15" s="19">
        <v>42.09</v>
      </c>
      <c r="H15" s="19">
        <v>1.28</v>
      </c>
      <c r="I15" s="19">
        <v>7.16</v>
      </c>
      <c r="J15" s="19">
        <v>7.58</v>
      </c>
      <c r="K15" s="19">
        <v>7.0000000000000007E-2</v>
      </c>
      <c r="L15" s="19">
        <v>11.03</v>
      </c>
      <c r="M15" s="19">
        <v>15.43</v>
      </c>
      <c r="N15" s="19">
        <v>0.22</v>
      </c>
      <c r="O15" s="19">
        <v>5.57</v>
      </c>
      <c r="P15" s="19">
        <v>0.99</v>
      </c>
      <c r="Q15" s="19">
        <v>8.5500000000000007</v>
      </c>
      <c r="R15" s="19"/>
      <c r="S15" s="19">
        <f t="shared" si="1"/>
        <v>99.96999999999997</v>
      </c>
      <c r="U15" s="23"/>
      <c r="V15" s="75"/>
      <c r="W15" s="19"/>
      <c r="X15" s="19"/>
      <c r="Y15" s="19"/>
      <c r="Z15" s="19"/>
      <c r="AA15" s="19"/>
      <c r="AB15" s="22"/>
      <c r="AC15" s="22"/>
      <c r="AF15" s="19">
        <f t="shared" si="44"/>
        <v>0.77227261128679414</v>
      </c>
      <c r="AG15" s="20">
        <f t="shared" si="2"/>
        <v>7673.6</v>
      </c>
      <c r="AH15" s="20">
        <f t="shared" si="3"/>
        <v>46242.14</v>
      </c>
      <c r="AI15" s="20">
        <f t="shared" si="4"/>
        <v>4320.3599999999997</v>
      </c>
      <c r="AJ15" s="19">
        <f t="shared" si="5"/>
        <v>5.79</v>
      </c>
      <c r="AK15" s="19">
        <f t="shared" si="6"/>
        <v>25.31818181818182</v>
      </c>
      <c r="AL15" s="19">
        <f t="shared" si="7"/>
        <v>3.949730700179533E-2</v>
      </c>
      <c r="AM15" s="19">
        <f t="shared" si="8"/>
        <v>2.1550279329608935</v>
      </c>
      <c r="AN15" s="19">
        <f t="shared" si="9"/>
        <v>0.77793296089385477</v>
      </c>
      <c r="AO15" s="19">
        <f t="shared" si="10"/>
        <v>0.89256358998028229</v>
      </c>
      <c r="AP15" s="19">
        <f t="shared" si="11"/>
        <v>1.1203683538358216</v>
      </c>
      <c r="AQ15" s="19">
        <f t="shared" si="12"/>
        <v>0.20787183801375808</v>
      </c>
      <c r="AR15" s="20">
        <f t="shared" si="45"/>
        <v>1314.1596276284085</v>
      </c>
      <c r="AS15" s="20">
        <f t="shared" si="46"/>
        <v>2558.1904345510234</v>
      </c>
      <c r="AT15" s="20"/>
      <c r="AU15" s="19">
        <f t="shared" si="13"/>
        <v>0.13233547160845807</v>
      </c>
      <c r="AV15" s="19">
        <f t="shared" si="14"/>
        <v>0.84201745958319985</v>
      </c>
      <c r="AX15" s="20"/>
      <c r="AY15" s="20"/>
      <c r="AZ15" s="20"/>
      <c r="BA15" s="22"/>
      <c r="BB15" s="22"/>
      <c r="BC15" s="22"/>
      <c r="BD15" s="22"/>
      <c r="BE15" s="22"/>
      <c r="BF15" s="22"/>
      <c r="BG15" s="22"/>
      <c r="BH15" s="22"/>
      <c r="BJ15" s="20"/>
      <c r="BK15" s="20"/>
      <c r="BL15" s="22"/>
      <c r="BM15" s="22"/>
      <c r="BN15" s="20"/>
      <c r="BO15" s="20"/>
      <c r="BP15" s="20"/>
      <c r="BQ15" s="22"/>
      <c r="BR15" s="22"/>
      <c r="BS15" s="22"/>
      <c r="BT15" s="22"/>
      <c r="BU15" s="22"/>
      <c r="BV15" s="22"/>
      <c r="BW15" s="19"/>
      <c r="BX15" s="19"/>
      <c r="BY15" s="19"/>
      <c r="BZ15" s="22"/>
      <c r="CA15" s="19"/>
      <c r="CB15" s="20"/>
      <c r="CC15" s="20"/>
      <c r="CD15" s="22"/>
      <c r="CE15" s="22"/>
      <c r="CG15" s="22"/>
      <c r="CH15" s="22"/>
      <c r="CI15" s="22"/>
      <c r="CJ15" s="22"/>
      <c r="CK15" s="22"/>
      <c r="CL15" s="22"/>
      <c r="CM15" s="22"/>
      <c r="CN15" s="22"/>
      <c r="CO15" s="22"/>
      <c r="CP15" s="22"/>
      <c r="CQ15" s="22"/>
      <c r="CR15" s="22"/>
      <c r="CS15" s="22"/>
      <c r="CT15" s="22"/>
      <c r="CU15" s="22"/>
      <c r="CV15" s="22"/>
      <c r="CW15" s="22"/>
      <c r="CX15" s="20"/>
      <c r="CY15" s="22"/>
      <c r="CZ15" s="22"/>
      <c r="DA15" s="22"/>
      <c r="DB15" s="22"/>
      <c r="DC15" s="22"/>
      <c r="DD15" s="22"/>
      <c r="DE15" s="22"/>
      <c r="DF15" s="22"/>
      <c r="DG15" s="19"/>
      <c r="DH15" s="20"/>
      <c r="DI15" s="19"/>
      <c r="DJ15" s="22"/>
      <c r="DK15" s="22"/>
      <c r="DL15" s="22"/>
      <c r="DM15" s="22"/>
      <c r="DN15" s="76"/>
      <c r="DO15" s="22"/>
      <c r="DP15" s="20"/>
      <c r="DQ15" s="22"/>
      <c r="DR15" s="22"/>
      <c r="DS15" s="19"/>
      <c r="DT15" s="23"/>
      <c r="DU15" s="22"/>
      <c r="DV15" s="22"/>
      <c r="DW15" s="22"/>
      <c r="DX15" s="22"/>
      <c r="DY15" s="22"/>
      <c r="DZ15" s="19"/>
      <c r="EA15" s="23"/>
      <c r="EB15" s="19"/>
      <c r="EC15" s="19"/>
      <c r="ED15" s="19"/>
      <c r="EE15" s="19">
        <f t="shared" si="33"/>
        <v>46.040253773791306</v>
      </c>
      <c r="EF15" s="19">
        <f t="shared" si="34"/>
        <v>1.4001312623058415</v>
      </c>
      <c r="EG15" s="19">
        <f t="shared" si="35"/>
        <v>7.8319842485233018</v>
      </c>
      <c r="EH15" s="19">
        <f t="shared" si="36"/>
        <v>8.2914023189674051</v>
      </c>
      <c r="EI15" s="19">
        <f t="shared" si="37"/>
        <v>7.6569678407350725E-2</v>
      </c>
      <c r="EJ15" s="19">
        <f t="shared" si="38"/>
        <v>12.065193611901119</v>
      </c>
      <c r="EK15" s="19">
        <f t="shared" si="39"/>
        <v>16.878144826077449</v>
      </c>
      <c r="EL15" s="19">
        <f t="shared" si="40"/>
        <v>0.24064756070881652</v>
      </c>
      <c r="EM15" s="19">
        <f t="shared" si="41"/>
        <v>6.0927586961277633</v>
      </c>
      <c r="EN15" s="19">
        <f t="shared" si="42"/>
        <v>1.0829140231896743</v>
      </c>
      <c r="EO15" s="19">
        <f t="shared" si="43"/>
        <v>100.00000000000003</v>
      </c>
    </row>
    <row r="16" spans="1:145" s="36" customFormat="1">
      <c r="A16" s="36" t="s">
        <v>225</v>
      </c>
      <c r="B16" s="1">
        <v>6</v>
      </c>
      <c r="D16" s="36" t="s">
        <v>185</v>
      </c>
      <c r="E16" s="36" t="s">
        <v>192</v>
      </c>
      <c r="F16" s="36">
        <v>0.46500000000000002</v>
      </c>
      <c r="G16" s="19">
        <v>43.6</v>
      </c>
      <c r="H16" s="19">
        <v>1.1499999999999999</v>
      </c>
      <c r="I16" s="19">
        <v>8.01</v>
      </c>
      <c r="J16" s="19">
        <v>7.7401999999999997</v>
      </c>
      <c r="K16" s="19">
        <v>0.11</v>
      </c>
      <c r="L16" s="19">
        <v>11.9</v>
      </c>
      <c r="M16" s="19">
        <v>13.6</v>
      </c>
      <c r="N16" s="19">
        <v>0.23</v>
      </c>
      <c r="O16" s="19">
        <v>5.56</v>
      </c>
      <c r="P16" s="19">
        <v>1.19</v>
      </c>
      <c r="Q16" s="19">
        <v>4.38</v>
      </c>
      <c r="R16" s="19">
        <v>0.33</v>
      </c>
      <c r="S16" s="19">
        <f t="shared" si="1"/>
        <v>97.80019999999999</v>
      </c>
      <c r="U16" s="75"/>
      <c r="V16" s="75"/>
      <c r="W16" s="19"/>
      <c r="X16" s="19"/>
      <c r="Y16" s="19"/>
      <c r="Z16" s="19"/>
      <c r="AA16" s="19"/>
      <c r="AB16" s="22"/>
      <c r="AC16" s="22"/>
      <c r="AF16" s="19">
        <f t="shared" si="44"/>
        <v>0.78180114645073384</v>
      </c>
      <c r="AG16" s="20">
        <f t="shared" si="2"/>
        <v>6894.2499999999991</v>
      </c>
      <c r="AH16" s="20">
        <f t="shared" si="3"/>
        <v>46159.119999999995</v>
      </c>
      <c r="AI16" s="20">
        <f t="shared" si="4"/>
        <v>5193.16</v>
      </c>
      <c r="AJ16" s="19">
        <f t="shared" si="5"/>
        <v>5.79</v>
      </c>
      <c r="AK16" s="19">
        <f t="shared" si="6"/>
        <v>24.173913043478258</v>
      </c>
      <c r="AL16" s="19">
        <f t="shared" si="7"/>
        <v>4.136690647482015E-2</v>
      </c>
      <c r="AM16" s="19">
        <f t="shared" si="8"/>
        <v>1.6978776529338326</v>
      </c>
      <c r="AN16" s="19">
        <f t="shared" si="9"/>
        <v>0.6941323345817727</v>
      </c>
      <c r="AO16" s="19">
        <f t="shared" si="10"/>
        <v>0.79854956216710138</v>
      </c>
      <c r="AP16" s="19">
        <f t="shared" si="11"/>
        <v>1.2522704255027115</v>
      </c>
      <c r="AQ16" s="19">
        <f t="shared" si="12"/>
        <v>0.25736781344073512</v>
      </c>
      <c r="AR16" s="20">
        <f t="shared" si="45"/>
        <v>1396.4582675838817</v>
      </c>
      <c r="AS16" s="20">
        <f t="shared" si="46"/>
        <v>2366.2591260944032</v>
      </c>
      <c r="AT16" s="20"/>
      <c r="AU16" s="19">
        <f t="shared" si="13"/>
        <v>0.12752293577981649</v>
      </c>
      <c r="AV16" s="19">
        <f t="shared" si="14"/>
        <v>0.75131351203776586</v>
      </c>
      <c r="AX16" s="20">
        <v>491</v>
      </c>
      <c r="AY16" s="20">
        <v>3857</v>
      </c>
      <c r="AZ16" s="20">
        <v>4218</v>
      </c>
      <c r="BA16" s="22">
        <v>275</v>
      </c>
      <c r="BB16" s="22"/>
      <c r="BC16" s="22">
        <v>37</v>
      </c>
      <c r="BD16" s="22">
        <v>56</v>
      </c>
      <c r="BE16" s="22">
        <v>29</v>
      </c>
      <c r="BF16" s="22">
        <v>68</v>
      </c>
      <c r="BG16" s="22">
        <v>40</v>
      </c>
      <c r="BH16" s="22">
        <v>126</v>
      </c>
      <c r="BI16" s="36">
        <v>46</v>
      </c>
      <c r="BJ16" s="20">
        <v>837</v>
      </c>
      <c r="BK16" s="20">
        <v>45</v>
      </c>
      <c r="BL16" s="22">
        <v>24</v>
      </c>
      <c r="BM16" s="22">
        <v>3.6</v>
      </c>
      <c r="BN16" s="20">
        <v>271</v>
      </c>
      <c r="BO16" s="20">
        <v>519</v>
      </c>
      <c r="BP16" s="20"/>
      <c r="BQ16" s="22">
        <v>229</v>
      </c>
      <c r="BR16" s="22">
        <v>40</v>
      </c>
      <c r="BS16" s="22">
        <v>6.5</v>
      </c>
      <c r="BT16" s="22">
        <v>26.3</v>
      </c>
      <c r="BU16" s="22">
        <v>2.5</v>
      </c>
      <c r="BV16" s="22">
        <v>12.6</v>
      </c>
      <c r="BW16" s="19"/>
      <c r="BX16" s="19">
        <v>4.4000000000000004</v>
      </c>
      <c r="BY16" s="19"/>
      <c r="BZ16" s="22">
        <v>2.6</v>
      </c>
      <c r="CA16" s="19">
        <v>0.4</v>
      </c>
      <c r="CB16" s="20">
        <v>101</v>
      </c>
      <c r="CC16" s="20">
        <v>116</v>
      </c>
      <c r="CD16" s="22">
        <v>33</v>
      </c>
      <c r="CE16" s="22">
        <v>14</v>
      </c>
      <c r="CG16" s="22">
        <f>BN16/0.242</f>
        <v>1119.8347107438017</v>
      </c>
      <c r="CH16" s="22">
        <f>BO16/0.635</f>
        <v>817.32283464566933</v>
      </c>
      <c r="CI16" s="22"/>
      <c r="CJ16" s="22">
        <f>BQ16/0.48</f>
        <v>477.08333333333337</v>
      </c>
      <c r="CK16" s="22">
        <f>BR16/0.156</f>
        <v>256.41025641025641</v>
      </c>
      <c r="CL16" s="22">
        <f>BS16/0.0591</f>
        <v>109.98307952622673</v>
      </c>
      <c r="CM16" s="22">
        <f>BT16/0.212</f>
        <v>124.05660377358491</v>
      </c>
      <c r="CN16" s="22">
        <f>BU16/0.0376</f>
        <v>66.489361702127653</v>
      </c>
      <c r="CO16" s="22">
        <f>BV16/0.259</f>
        <v>48.648648648648646</v>
      </c>
      <c r="CP16" s="22"/>
      <c r="CQ16" s="22">
        <f>BX16/0.163</f>
        <v>26.993865030674847</v>
      </c>
      <c r="CR16" s="22"/>
      <c r="CS16" s="22">
        <f>BZ16/0.166</f>
        <v>15.662650602409638</v>
      </c>
      <c r="CT16" s="22">
        <f>CA16/0.024</f>
        <v>16.666666666666668</v>
      </c>
      <c r="CU16" s="22">
        <f>AZ16/BK16</f>
        <v>93.733333333333334</v>
      </c>
      <c r="CV16" s="22">
        <f>AZ16/BN16</f>
        <v>15.564575645756458</v>
      </c>
      <c r="CW16" s="22">
        <f>BN16/BK16</f>
        <v>6.0222222222222221</v>
      </c>
      <c r="CX16" s="20">
        <f>AG16/BK16</f>
        <v>153.20555555555555</v>
      </c>
      <c r="CY16" s="22">
        <f>BO16/CB16</f>
        <v>5.1386138613861387</v>
      </c>
      <c r="CZ16" s="22">
        <f>BK16/CD16</f>
        <v>1.3636363636363635</v>
      </c>
      <c r="DA16" s="22">
        <f>AX16/BR16</f>
        <v>12.275</v>
      </c>
      <c r="DB16" s="22">
        <f>BJ16/BK16</f>
        <v>18.600000000000001</v>
      </c>
      <c r="DC16" s="22">
        <f>AZ16/CC16</f>
        <v>36.362068965517238</v>
      </c>
      <c r="DD16" s="22">
        <f>CC16/BM16</f>
        <v>32.222222222222221</v>
      </c>
      <c r="DE16" s="22">
        <f>BM16/BZ16</f>
        <v>1.3846153846153846</v>
      </c>
      <c r="DF16" s="22">
        <f>CC16/BZ16</f>
        <v>44.615384615384613</v>
      </c>
      <c r="DG16" s="19">
        <f>BK16/BI16</f>
        <v>0.97826086956521741</v>
      </c>
      <c r="DH16" s="20">
        <f>AH16/BN16</f>
        <v>170.32885608856085</v>
      </c>
      <c r="DI16" s="19">
        <f>(BK16/0.46)/((O16/0.023)*(CD16/0.017))^0.5</f>
        <v>0.14280673667636021</v>
      </c>
      <c r="DJ16" s="22">
        <f>BN16/CA16</f>
        <v>677.5</v>
      </c>
      <c r="DK16" s="22">
        <f>CG16/CT16</f>
        <v>67.190082644628092</v>
      </c>
      <c r="DL16" s="22">
        <f>CG16/CK16</f>
        <v>4.3673553719008265</v>
      </c>
      <c r="DM16" s="22">
        <f>BN16/BZ16</f>
        <v>104.23076923076923</v>
      </c>
      <c r="DN16" s="76">
        <f>BL16/BQ16</f>
        <v>0.10480349344978165</v>
      </c>
      <c r="DO16" s="22">
        <f>BR16/BZ16</f>
        <v>15.384615384615383</v>
      </c>
      <c r="DP16" s="20">
        <f>AY16/BZ16</f>
        <v>1483.4615384615383</v>
      </c>
      <c r="DQ16" s="22">
        <f>AY16/BQ16</f>
        <v>16.842794759825328</v>
      </c>
      <c r="DR16" s="22">
        <f>AY16/(((BR16/0.195)*(BT16/0.259))^0.5)</f>
        <v>26.724461117129202</v>
      </c>
      <c r="DS16" s="19">
        <f>(BS16/0.074)/(((BR16/0.195)*(BT16/0.259))^0.5)</f>
        <v>0.60861262170339581</v>
      </c>
      <c r="DT16" s="23">
        <f>1/AY16</f>
        <v>2.5926886180969663E-4</v>
      </c>
      <c r="DU16" s="22">
        <f>BJ16/BI16</f>
        <v>18.195652173913043</v>
      </c>
      <c r="DV16" s="22">
        <f>BK16/BM16</f>
        <v>12.5</v>
      </c>
      <c r="DW16" s="22">
        <f>1.74+LOG(BK16/BI16)-1.92*LOG(BJ16/BI16)</f>
        <v>-0.68868316042466726</v>
      </c>
      <c r="DX16" s="22">
        <f>BK16*100/BJ16</f>
        <v>5.376344086021505</v>
      </c>
      <c r="DY16" s="22">
        <f>CC16*100/BJ16</f>
        <v>13.859020310633214</v>
      </c>
      <c r="DZ16" s="19">
        <f>EK16*100/AY16</f>
        <v>0.37877848802686803</v>
      </c>
      <c r="EA16" s="23">
        <f>BA16/BN16</f>
        <v>1.014760147601476</v>
      </c>
      <c r="EB16" s="19">
        <f>CC16/BK16</f>
        <v>2.5777777777777779</v>
      </c>
      <c r="EC16" s="19"/>
      <c r="ED16" s="19"/>
      <c r="EE16" s="19">
        <f t="shared" si="33"/>
        <v>46.836294260835189</v>
      </c>
      <c r="EF16" s="19">
        <f t="shared" si="34"/>
        <v>1.2353609724761574</v>
      </c>
      <c r="EG16" s="19">
        <f t="shared" si="35"/>
        <v>8.604557730029585</v>
      </c>
      <c r="EH16" s="19">
        <f t="shared" si="36"/>
        <v>8.3147313036173518</v>
      </c>
      <c r="EI16" s="19">
        <f t="shared" si="37"/>
        <v>0.11816496258467594</v>
      </c>
      <c r="EJ16" s="19">
        <f t="shared" si="38"/>
        <v>12.783300497796761</v>
      </c>
      <c r="EK16" s="19">
        <f t="shared" si="39"/>
        <v>14.609486283196299</v>
      </c>
      <c r="EL16" s="19">
        <f t="shared" si="40"/>
        <v>0.24707219449523152</v>
      </c>
      <c r="EM16" s="19">
        <f t="shared" si="41"/>
        <v>5.9727017451890747</v>
      </c>
      <c r="EN16" s="19">
        <f t="shared" si="42"/>
        <v>1.2783300497796761</v>
      </c>
      <c r="EO16" s="19">
        <f t="shared" si="43"/>
        <v>100</v>
      </c>
    </row>
    <row r="17" spans="1:145" s="36" customFormat="1">
      <c r="A17" s="36" t="s">
        <v>225</v>
      </c>
      <c r="B17" s="1">
        <v>6</v>
      </c>
      <c r="D17" s="36" t="s">
        <v>185</v>
      </c>
      <c r="E17" s="36" t="s">
        <v>192</v>
      </c>
      <c r="F17" s="36">
        <v>0.46500000000000002</v>
      </c>
      <c r="G17" s="19">
        <v>43.3</v>
      </c>
      <c r="H17" s="19">
        <v>1.1200000000000001</v>
      </c>
      <c r="I17" s="19">
        <v>7.92</v>
      </c>
      <c r="J17" s="19">
        <v>7.8107000000000006</v>
      </c>
      <c r="K17" s="19">
        <v>0.12</v>
      </c>
      <c r="L17" s="19">
        <v>10.4</v>
      </c>
      <c r="M17" s="19">
        <v>14.6</v>
      </c>
      <c r="N17" s="19">
        <v>0.38</v>
      </c>
      <c r="O17" s="19">
        <v>8.23</v>
      </c>
      <c r="P17" s="19">
        <v>1.23</v>
      </c>
      <c r="Q17" s="19">
        <v>3.24</v>
      </c>
      <c r="R17" s="19">
        <v>0.1</v>
      </c>
      <c r="S17" s="19">
        <f t="shared" si="1"/>
        <v>98.450699999999983</v>
      </c>
      <c r="U17" s="75"/>
      <c r="V17" s="75"/>
      <c r="W17" s="19"/>
      <c r="X17" s="19"/>
      <c r="Y17" s="19"/>
      <c r="Z17" s="19"/>
      <c r="AA17" s="19"/>
      <c r="AB17" s="22"/>
      <c r="AC17" s="22"/>
      <c r="AF17" s="19">
        <f t="shared" si="44"/>
        <v>0.75628042255469996</v>
      </c>
      <c r="AG17" s="20">
        <f t="shared" si="2"/>
        <v>6714.4000000000005</v>
      </c>
      <c r="AH17" s="20">
        <f t="shared" si="3"/>
        <v>68325.460000000006</v>
      </c>
      <c r="AI17" s="20">
        <f t="shared" si="4"/>
        <v>5367.72</v>
      </c>
      <c r="AJ17" s="19">
        <f t="shared" si="5"/>
        <v>8.6100000000000012</v>
      </c>
      <c r="AK17" s="19">
        <f t="shared" si="6"/>
        <v>21.657894736842106</v>
      </c>
      <c r="AL17" s="19">
        <f t="shared" si="7"/>
        <v>4.6172539489671933E-2</v>
      </c>
      <c r="AM17" s="19">
        <f t="shared" si="8"/>
        <v>1.8434343434343434</v>
      </c>
      <c r="AN17" s="19">
        <f t="shared" si="9"/>
        <v>1.0391414141414141</v>
      </c>
      <c r="AO17" s="19">
        <f t="shared" si="10"/>
        <v>1.2036727343355431</v>
      </c>
      <c r="AP17" s="19">
        <f t="shared" si="11"/>
        <v>0.83079060568072483</v>
      </c>
      <c r="AQ17" s="19">
        <f t="shared" si="12"/>
        <v>0.21952682272792665</v>
      </c>
      <c r="AR17" s="20">
        <f t="shared" si="45"/>
        <v>633.12315443141847</v>
      </c>
      <c r="AS17" s="20">
        <f t="shared" si="46"/>
        <v>2348.3564748493955</v>
      </c>
      <c r="AT17" s="20"/>
      <c r="AU17" s="19">
        <f t="shared" si="13"/>
        <v>0.19006928406466514</v>
      </c>
      <c r="AV17" s="19">
        <f t="shared" si="14"/>
        <v>1.1247437217182441</v>
      </c>
      <c r="AX17" s="20">
        <v>535</v>
      </c>
      <c r="AY17" s="20">
        <v>3723</v>
      </c>
      <c r="AZ17" s="20">
        <v>4189</v>
      </c>
      <c r="BA17" s="22">
        <v>275</v>
      </c>
      <c r="BB17" s="22"/>
      <c r="BC17" s="22">
        <v>57</v>
      </c>
      <c r="BD17" s="22">
        <v>56</v>
      </c>
      <c r="BE17" s="22">
        <v>16</v>
      </c>
      <c r="BF17" s="22">
        <v>75</v>
      </c>
      <c r="BG17" s="22">
        <v>6</v>
      </c>
      <c r="BH17" s="22">
        <v>17</v>
      </c>
      <c r="BI17" s="36">
        <v>52</v>
      </c>
      <c r="BJ17" s="20">
        <v>814</v>
      </c>
      <c r="BK17" s="20">
        <v>46</v>
      </c>
      <c r="BL17" s="22">
        <v>25</v>
      </c>
      <c r="BM17" s="22">
        <v>3.9</v>
      </c>
      <c r="BN17" s="20">
        <v>228</v>
      </c>
      <c r="BO17" s="20">
        <v>514</v>
      </c>
      <c r="BP17" s="20"/>
      <c r="BQ17" s="22">
        <v>226</v>
      </c>
      <c r="BR17" s="22">
        <v>38</v>
      </c>
      <c r="BS17" s="22">
        <v>6.3</v>
      </c>
      <c r="BT17" s="22">
        <v>25.4</v>
      </c>
      <c r="BU17" s="22">
        <v>2.5</v>
      </c>
      <c r="BV17" s="22">
        <v>12.2</v>
      </c>
      <c r="BW17" s="19"/>
      <c r="BX17" s="19">
        <v>4.3</v>
      </c>
      <c r="BY17" s="19"/>
      <c r="BZ17" s="22">
        <v>2.5</v>
      </c>
      <c r="CA17" s="19">
        <v>0.5</v>
      </c>
      <c r="CB17" s="20">
        <v>187</v>
      </c>
      <c r="CC17" s="20">
        <v>112</v>
      </c>
      <c r="CD17" s="22">
        <v>30</v>
      </c>
      <c r="CE17" s="22">
        <v>4</v>
      </c>
      <c r="CG17" s="22">
        <f>BN17/0.242</f>
        <v>942.14876033057851</v>
      </c>
      <c r="CH17" s="22">
        <f>BO17/0.635</f>
        <v>809.44881889763781</v>
      </c>
      <c r="CI17" s="22"/>
      <c r="CJ17" s="22">
        <f>BQ17/0.48</f>
        <v>470.83333333333337</v>
      </c>
      <c r="CK17" s="22">
        <f>BR17/0.156</f>
        <v>243.58974358974359</v>
      </c>
      <c r="CL17" s="22">
        <f>BS17/0.0591</f>
        <v>106.5989847715736</v>
      </c>
      <c r="CM17" s="22">
        <f>BT17/0.212</f>
        <v>119.81132075471697</v>
      </c>
      <c r="CN17" s="22">
        <f>BU17/0.0376</f>
        <v>66.489361702127653</v>
      </c>
      <c r="CO17" s="22">
        <f>BV17/0.259</f>
        <v>47.104247104247101</v>
      </c>
      <c r="CP17" s="22"/>
      <c r="CQ17" s="22">
        <f>BX17/0.163</f>
        <v>26.380368098159508</v>
      </c>
      <c r="CR17" s="22"/>
      <c r="CS17" s="22">
        <f>BZ17/0.166</f>
        <v>15.060240963855421</v>
      </c>
      <c r="CT17" s="22">
        <f>CA17/0.024</f>
        <v>20.833333333333332</v>
      </c>
      <c r="CU17" s="22">
        <f>AZ17/BK17</f>
        <v>91.065217391304344</v>
      </c>
      <c r="CV17" s="22">
        <f>AZ17/BN17</f>
        <v>18.37280701754386</v>
      </c>
      <c r="CW17" s="22">
        <f>BN17/BK17</f>
        <v>4.9565217391304346</v>
      </c>
      <c r="CX17" s="20">
        <f>AG17/BK17</f>
        <v>145.96521739130435</v>
      </c>
      <c r="CY17" s="22">
        <f>BO17/CB17</f>
        <v>2.748663101604278</v>
      </c>
      <c r="CZ17" s="22">
        <f>BK17/CD17</f>
        <v>1.5333333333333334</v>
      </c>
      <c r="DA17" s="22">
        <f>AX17/BR17</f>
        <v>14.078947368421053</v>
      </c>
      <c r="DB17" s="22">
        <f>BJ17/BK17</f>
        <v>17.695652173913043</v>
      </c>
      <c r="DC17" s="22">
        <f>AZ17/CC17</f>
        <v>37.401785714285715</v>
      </c>
      <c r="DD17" s="22">
        <f>CC17/BM17</f>
        <v>28.717948717948719</v>
      </c>
      <c r="DE17" s="22">
        <f>BM17/BZ17</f>
        <v>1.56</v>
      </c>
      <c r="DF17" s="22">
        <f>CC17/BZ17</f>
        <v>44.8</v>
      </c>
      <c r="DG17" s="19">
        <f>BK17/BI17</f>
        <v>0.88461538461538458</v>
      </c>
      <c r="DH17" s="20">
        <f>AH17/BN17</f>
        <v>299.67307017543862</v>
      </c>
      <c r="DI17" s="19">
        <f>(BK17/0.46)/((O17/0.023)*(CD17/0.017))^0.5</f>
        <v>0.12584264380727633</v>
      </c>
      <c r="DJ17" s="22">
        <f>BN17/CA17</f>
        <v>456</v>
      </c>
      <c r="DK17" s="22">
        <f>CG17/CT17</f>
        <v>45.223140495867774</v>
      </c>
      <c r="DL17" s="22">
        <f>CG17/CK17</f>
        <v>3.8677685950413223</v>
      </c>
      <c r="DM17" s="22">
        <f>BN17/BZ17</f>
        <v>91.2</v>
      </c>
      <c r="DN17" s="76">
        <f>BL17/BQ17</f>
        <v>0.11061946902654868</v>
      </c>
      <c r="DO17" s="22">
        <f>BR17/BZ17</f>
        <v>15.2</v>
      </c>
      <c r="DP17" s="20">
        <f>AY17/BZ17</f>
        <v>1489.2</v>
      </c>
      <c r="DQ17" s="22">
        <f>AY17/BQ17</f>
        <v>16.473451327433629</v>
      </c>
      <c r="DR17" s="22">
        <f>AY17/(((BR17/0.195)*(BT17/0.259))^0.5)</f>
        <v>26.930943410060184</v>
      </c>
      <c r="DS17" s="19">
        <f>(BS17/0.074)/(((BR17/0.195)*(BT17/0.259))^0.5)</f>
        <v>0.61583924430087322</v>
      </c>
      <c r="DT17" s="23">
        <f>1/AY17</f>
        <v>2.6860059092130003E-4</v>
      </c>
      <c r="DU17" s="22">
        <f>BJ17/BI17</f>
        <v>15.653846153846153</v>
      </c>
      <c r="DV17" s="22">
        <f>BK17/BM17</f>
        <v>11.794871794871796</v>
      </c>
      <c r="DW17" s="22">
        <f>1.74+LOG(BK17/BI17)-1.92*LOG(BJ17/BI17)</f>
        <v>-0.60691794956167722</v>
      </c>
      <c r="DX17" s="22">
        <f>BK17*100/BJ17</f>
        <v>5.6511056511056514</v>
      </c>
      <c r="DY17" s="22">
        <f>CC17*100/BJ17</f>
        <v>13.759213759213759</v>
      </c>
      <c r="DZ17" s="19">
        <f>EK17*100/AY17</f>
        <v>0.41231624070172768</v>
      </c>
      <c r="EA17" s="23">
        <f>BA17/BN17</f>
        <v>1.2061403508771931</v>
      </c>
      <c r="EB17" s="19">
        <f>CC17/BK17</f>
        <v>2.4347826086956523</v>
      </c>
      <c r="EC17" s="19"/>
      <c r="ED17" s="19"/>
      <c r="EE17" s="19">
        <f t="shared" si="33"/>
        <v>45.525897717081257</v>
      </c>
      <c r="EF17" s="19">
        <f t="shared" si="34"/>
        <v>1.1775751834441344</v>
      </c>
      <c r="EG17" s="19">
        <f t="shared" si="35"/>
        <v>8.3271387972120916</v>
      </c>
      <c r="EH17" s="19">
        <f t="shared" si="36"/>
        <v>8.2122200761849093</v>
      </c>
      <c r="EI17" s="19">
        <f t="shared" si="37"/>
        <v>0.12616876965472865</v>
      </c>
      <c r="EJ17" s="19">
        <f t="shared" si="38"/>
        <v>10.934626703409817</v>
      </c>
      <c r="EK17" s="19">
        <f t="shared" si="39"/>
        <v>15.35053364132532</v>
      </c>
      <c r="EL17" s="19">
        <f t="shared" si="40"/>
        <v>0.39953443723997406</v>
      </c>
      <c r="EM17" s="19">
        <f t="shared" si="41"/>
        <v>8.6530747854868064</v>
      </c>
      <c r="EN17" s="19">
        <f t="shared" si="42"/>
        <v>1.2932298889609688</v>
      </c>
      <c r="EO17" s="19">
        <f t="shared" si="43"/>
        <v>100</v>
      </c>
    </row>
    <row r="18" spans="1:145" s="36" customFormat="1">
      <c r="A18" s="36" t="s">
        <v>225</v>
      </c>
      <c r="B18" s="1">
        <v>6</v>
      </c>
      <c r="D18" s="36" t="s">
        <v>266</v>
      </c>
      <c r="E18" s="36" t="s">
        <v>192</v>
      </c>
      <c r="F18" s="36">
        <v>0.46500000000000002</v>
      </c>
      <c r="G18" s="19">
        <v>44.6</v>
      </c>
      <c r="H18" s="19">
        <v>1.1399999999999999</v>
      </c>
      <c r="I18" s="19">
        <v>8.18</v>
      </c>
      <c r="J18" s="19">
        <v>7.8062000000000005</v>
      </c>
      <c r="K18" s="19">
        <v>0.08</v>
      </c>
      <c r="L18" s="19">
        <v>14.71</v>
      </c>
      <c r="M18" s="19">
        <v>11.13</v>
      </c>
      <c r="N18" s="19">
        <v>0.14000000000000001</v>
      </c>
      <c r="O18" s="19">
        <v>4.57</v>
      </c>
      <c r="P18" s="19">
        <v>1.25</v>
      </c>
      <c r="Q18" s="19"/>
      <c r="R18" s="19"/>
      <c r="S18" s="19">
        <f t="shared" si="1"/>
        <v>93.606200000000001</v>
      </c>
      <c r="U18" s="75">
        <v>0.71111999999999997</v>
      </c>
      <c r="V18" s="75">
        <v>0.51209499999999997</v>
      </c>
      <c r="W18" s="19">
        <v>18.75</v>
      </c>
      <c r="X18" s="19">
        <v>15.676</v>
      </c>
      <c r="Y18" s="19">
        <v>38.963000000000001</v>
      </c>
      <c r="Z18" s="19">
        <f>Y18/W18</f>
        <v>2.0780266666666667</v>
      </c>
      <c r="AA18" s="19">
        <f>X18/W18</f>
        <v>0.83605333333333332</v>
      </c>
      <c r="AB18" s="22">
        <f>(X18-((0.1084*W18)+13.491))*100</f>
        <v>15.250000000000163</v>
      </c>
      <c r="AC18" s="22">
        <f>(Y18-(1.209*W18+15.627))*100</f>
        <v>66.724999999999568</v>
      </c>
      <c r="AF18" s="19">
        <f t="shared" si="44"/>
        <v>0.81452605043993409</v>
      </c>
      <c r="AG18" s="20">
        <f t="shared" si="2"/>
        <v>6834.2999999999993</v>
      </c>
      <c r="AH18" s="20">
        <f t="shared" si="3"/>
        <v>37940.14</v>
      </c>
      <c r="AI18" s="20">
        <f t="shared" si="4"/>
        <v>5455</v>
      </c>
      <c r="AJ18" s="19">
        <f t="shared" si="5"/>
        <v>4.71</v>
      </c>
      <c r="AK18" s="19">
        <f t="shared" si="6"/>
        <v>32.642857142857139</v>
      </c>
      <c r="AL18" s="19">
        <f t="shared" si="7"/>
        <v>3.0634573304157552E-2</v>
      </c>
      <c r="AM18" s="19">
        <f t="shared" si="8"/>
        <v>1.3606356968215161</v>
      </c>
      <c r="AN18" s="19">
        <f t="shared" si="9"/>
        <v>0.55867970660146704</v>
      </c>
      <c r="AO18" s="19">
        <f t="shared" si="10"/>
        <v>0.63285741342240553</v>
      </c>
      <c r="AP18" s="19">
        <f t="shared" si="11"/>
        <v>1.5801347646259496</v>
      </c>
      <c r="AQ18" s="19">
        <f t="shared" si="12"/>
        <v>0.32188990352543911</v>
      </c>
      <c r="AR18" s="20">
        <f t="shared" si="45"/>
        <v>1739.5181881393528</v>
      </c>
      <c r="AS18" s="20">
        <f t="shared" si="46"/>
        <v>2223.4411322034853</v>
      </c>
      <c r="AT18" s="20"/>
      <c r="AU18" s="19">
        <f t="shared" si="13"/>
        <v>0.10246636771300449</v>
      </c>
      <c r="AV18" s="19">
        <f t="shared" si="14"/>
        <v>0.60470257839793606</v>
      </c>
      <c r="AX18" s="20">
        <v>443</v>
      </c>
      <c r="AY18" s="20">
        <v>3426</v>
      </c>
      <c r="AZ18" s="20">
        <v>4470</v>
      </c>
      <c r="BA18" s="22"/>
      <c r="BB18" s="22"/>
      <c r="BC18" s="22">
        <v>59.4</v>
      </c>
      <c r="BD18" s="22">
        <v>48.4</v>
      </c>
      <c r="BE18" s="22">
        <v>29.7</v>
      </c>
      <c r="BF18" s="22">
        <v>77.099999999999994</v>
      </c>
      <c r="BG18" s="22"/>
      <c r="BH18" s="22"/>
      <c r="BI18" s="36">
        <v>41</v>
      </c>
      <c r="BJ18" s="20">
        <v>868</v>
      </c>
      <c r="BK18" s="20">
        <v>46</v>
      </c>
      <c r="BL18" s="22"/>
      <c r="BM18" s="22"/>
      <c r="BN18" s="20">
        <v>284</v>
      </c>
      <c r="BO18" s="20">
        <v>531</v>
      </c>
      <c r="BP18" s="20">
        <v>75</v>
      </c>
      <c r="BQ18" s="22">
        <v>235</v>
      </c>
      <c r="BR18" s="22">
        <v>45</v>
      </c>
      <c r="BS18" s="22">
        <v>7</v>
      </c>
      <c r="BT18" s="22">
        <v>31</v>
      </c>
      <c r="BU18" s="22"/>
      <c r="BV18" s="22">
        <v>13</v>
      </c>
      <c r="BW18" s="19"/>
      <c r="BX18" s="19">
        <v>5.0999999999999996</v>
      </c>
      <c r="BY18" s="19"/>
      <c r="BZ18" s="22">
        <v>2.7</v>
      </c>
      <c r="CA18" s="19">
        <v>0.4</v>
      </c>
      <c r="CB18" s="20"/>
      <c r="CC18" s="20">
        <v>125</v>
      </c>
      <c r="CD18" s="22">
        <v>35</v>
      </c>
      <c r="CE18" s="22"/>
      <c r="CG18" s="22">
        <f>BN18/0.242</f>
        <v>1173.5537190082646</v>
      </c>
      <c r="CH18" s="22">
        <f>BO18/0.635</f>
        <v>836.22047244094483</v>
      </c>
      <c r="CI18" s="22">
        <f>BP18/0.0963</f>
        <v>778.81619937694711</v>
      </c>
      <c r="CJ18" s="22">
        <f>BQ18/0.48</f>
        <v>489.58333333333337</v>
      </c>
      <c r="CK18" s="22">
        <f>BR18/0.156</f>
        <v>288.46153846153845</v>
      </c>
      <c r="CL18" s="22">
        <f>BS18/0.0591</f>
        <v>118.44331641285956</v>
      </c>
      <c r="CM18" s="22">
        <f>BT18/0.212</f>
        <v>146.22641509433961</v>
      </c>
      <c r="CN18" s="22">
        <f>BU18/0.0376</f>
        <v>0</v>
      </c>
      <c r="CO18" s="22">
        <f>BV18/0.259</f>
        <v>50.19305019305019</v>
      </c>
      <c r="CP18" s="22"/>
      <c r="CQ18" s="22">
        <f>BX18/0.163</f>
        <v>31.288343558282204</v>
      </c>
      <c r="CR18" s="22"/>
      <c r="CS18" s="22">
        <f>BZ18/0.166</f>
        <v>16.265060240963855</v>
      </c>
      <c r="CT18" s="22">
        <f>CA18/0.024</f>
        <v>16.666666666666668</v>
      </c>
      <c r="CU18" s="22">
        <f>AZ18/BK18</f>
        <v>97.173913043478265</v>
      </c>
      <c r="CV18" s="22">
        <f>AZ18/BN18</f>
        <v>15.73943661971831</v>
      </c>
      <c r="CW18" s="22">
        <f>BN18/BK18</f>
        <v>6.1739130434782608</v>
      </c>
      <c r="CX18" s="20">
        <f>AG18/BK18</f>
        <v>148.57173913043476</v>
      </c>
      <c r="CY18" s="22"/>
      <c r="CZ18" s="22">
        <f>BK18/CD18</f>
        <v>1.3142857142857143</v>
      </c>
      <c r="DA18" s="22">
        <f>AX18/BR18</f>
        <v>9.844444444444445</v>
      </c>
      <c r="DB18" s="22">
        <f>BJ18/BK18</f>
        <v>18.869565217391305</v>
      </c>
      <c r="DC18" s="22">
        <f>AZ18/CC18</f>
        <v>35.76</v>
      </c>
      <c r="DD18" s="22"/>
      <c r="DE18" s="22"/>
      <c r="DF18" s="22">
        <f>CC18/BZ18</f>
        <v>46.296296296296291</v>
      </c>
      <c r="DG18" s="19">
        <f>BK18/BI18</f>
        <v>1.1219512195121952</v>
      </c>
      <c r="DH18" s="20">
        <f>AH18/BN18</f>
        <v>133.59204225352113</v>
      </c>
      <c r="DI18" s="19">
        <f>(BK18/0.46)/((O18/0.023)*(CD18/0.017))^0.5</f>
        <v>0.15634941351335674</v>
      </c>
      <c r="DJ18" s="22">
        <f>BN18/CA18</f>
        <v>710</v>
      </c>
      <c r="DK18" s="22">
        <f>CG18/CT18</f>
        <v>70.413223140495873</v>
      </c>
      <c r="DL18" s="22">
        <f>CG18/CK18</f>
        <v>4.0683195592286507</v>
      </c>
      <c r="DM18" s="22">
        <f>BN18/BZ18</f>
        <v>105.18518518518518</v>
      </c>
      <c r="DN18" s="76"/>
      <c r="DO18" s="22">
        <f>BR18/BZ18</f>
        <v>16.666666666666664</v>
      </c>
      <c r="DP18" s="20">
        <f>AY18/BZ18</f>
        <v>1268.8888888888889</v>
      </c>
      <c r="DQ18" s="22">
        <f>AY18/BQ18</f>
        <v>14.578723404255319</v>
      </c>
      <c r="DR18" s="22">
        <f>AY18/(((BR18/0.195)*(BT18/0.259))^0.5)</f>
        <v>20.614245437748671</v>
      </c>
      <c r="DS18" s="19">
        <f>(BS18/0.074)/(((BR18/0.195)*(BT18/0.259))^0.5)</f>
        <v>0.56917577059466051</v>
      </c>
      <c r="DT18" s="23">
        <f>1/AY18</f>
        <v>2.918855808523059E-4</v>
      </c>
      <c r="DU18" s="22">
        <f>BJ18/BI18</f>
        <v>21.170731707317074</v>
      </c>
      <c r="DV18" s="22"/>
      <c r="DW18" s="22">
        <f>1.74+LOG(BK18/BI18)-1.92*LOG(BJ18/BI18)</f>
        <v>-0.75543889247513363</v>
      </c>
      <c r="DX18" s="22">
        <f>BK18*100/BJ18</f>
        <v>5.2995391705069128</v>
      </c>
      <c r="DY18" s="22">
        <f>CC18*100/BJ18</f>
        <v>14.400921658986174</v>
      </c>
      <c r="DZ18" s="19">
        <f>EK18*100/AY18</f>
        <v>0.34705890367156927</v>
      </c>
      <c r="EA18" s="23"/>
      <c r="EB18" s="19">
        <f>CC18/BK18</f>
        <v>2.7173913043478262</v>
      </c>
      <c r="EC18" s="19"/>
      <c r="ED18" s="19"/>
      <c r="EE18" s="19">
        <f t="shared" si="33"/>
        <v>47.646416583516903</v>
      </c>
      <c r="EF18" s="19">
        <f t="shared" si="34"/>
        <v>1.2178680472020014</v>
      </c>
      <c r="EG18" s="19">
        <f t="shared" si="35"/>
        <v>8.7387373913266426</v>
      </c>
      <c r="EH18" s="19">
        <f t="shared" si="36"/>
        <v>8.3394048684809334</v>
      </c>
      <c r="EI18" s="19">
        <f t="shared" si="37"/>
        <v>8.5464424365052735E-2</v>
      </c>
      <c r="EJ18" s="19">
        <f t="shared" si="38"/>
        <v>15.714771030124073</v>
      </c>
      <c r="EK18" s="19">
        <f t="shared" si="39"/>
        <v>11.890238039787963</v>
      </c>
      <c r="EL18" s="19">
        <f t="shared" si="40"/>
        <v>0.14956274263884231</v>
      </c>
      <c r="EM18" s="19">
        <f t="shared" si="41"/>
        <v>4.8821552418536376</v>
      </c>
      <c r="EN18" s="19">
        <f t="shared" si="42"/>
        <v>1.335381630703949</v>
      </c>
      <c r="EO18" s="19">
        <f t="shared" si="43"/>
        <v>100</v>
      </c>
    </row>
    <row r="19" spans="1:145" s="36" customFormat="1">
      <c r="A19" s="36" t="s">
        <v>225</v>
      </c>
      <c r="B19" s="1">
        <v>6</v>
      </c>
      <c r="D19" s="36" t="s">
        <v>266</v>
      </c>
      <c r="E19" s="36" t="s">
        <v>10</v>
      </c>
      <c r="F19" s="36">
        <v>0.46500000000000002</v>
      </c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U19" s="75">
        <v>0.71192999999999995</v>
      </c>
      <c r="V19" s="75">
        <v>0.51200000000000001</v>
      </c>
      <c r="W19" s="19">
        <v>18.754999999999999</v>
      </c>
      <c r="X19" s="19">
        <v>15.68</v>
      </c>
      <c r="Y19" s="19">
        <v>38.972000000000001</v>
      </c>
      <c r="Z19" s="19">
        <f>Y19/W19</f>
        <v>2.0779525459877366</v>
      </c>
      <c r="AA19" s="19">
        <f>X19/W19</f>
        <v>0.83604372167422025</v>
      </c>
      <c r="AB19" s="22">
        <f>(X19-((0.1084*W19)+13.491))*100</f>
        <v>15.595800000000004</v>
      </c>
      <c r="AC19" s="22">
        <f>(Y19-(1.209*W19+15.627))*100</f>
        <v>67.020500000000283</v>
      </c>
      <c r="AF19" s="19"/>
      <c r="AG19" s="20"/>
      <c r="AH19" s="20"/>
      <c r="AI19" s="20"/>
      <c r="AJ19" s="19"/>
      <c r="AK19" s="19"/>
      <c r="AL19" s="19"/>
      <c r="AM19" s="19"/>
      <c r="AN19" s="19"/>
      <c r="AO19" s="19"/>
      <c r="AP19" s="19"/>
      <c r="AQ19" s="19"/>
      <c r="AR19" s="20"/>
      <c r="AS19" s="20"/>
      <c r="AT19" s="20"/>
      <c r="AU19" s="19"/>
      <c r="AV19" s="19"/>
      <c r="AX19" s="20"/>
      <c r="AY19" s="20"/>
      <c r="AZ19" s="20"/>
      <c r="BA19" s="22"/>
      <c r="BB19" s="22"/>
      <c r="BC19" s="22"/>
      <c r="BD19" s="22"/>
      <c r="BE19" s="22"/>
      <c r="BF19" s="22"/>
      <c r="BG19" s="22"/>
      <c r="BH19" s="22"/>
      <c r="BJ19" s="20"/>
      <c r="BK19" s="20"/>
      <c r="BL19" s="22"/>
      <c r="BM19" s="22"/>
      <c r="BN19" s="20"/>
      <c r="BO19" s="20"/>
      <c r="BP19" s="20"/>
      <c r="BQ19" s="22"/>
      <c r="BR19" s="22"/>
      <c r="BS19" s="22"/>
      <c r="BT19" s="22"/>
      <c r="BU19" s="22"/>
      <c r="BV19" s="22"/>
      <c r="BW19" s="19"/>
      <c r="BX19" s="19"/>
      <c r="BY19" s="19"/>
      <c r="BZ19" s="22"/>
      <c r="CA19" s="19"/>
      <c r="CB19" s="20"/>
      <c r="CC19" s="20"/>
      <c r="CD19" s="22"/>
      <c r="CE19" s="22"/>
      <c r="CG19" s="22"/>
      <c r="CH19" s="22"/>
      <c r="CI19" s="22"/>
      <c r="CJ19" s="22"/>
      <c r="CK19" s="22"/>
      <c r="CL19" s="22"/>
      <c r="CM19" s="22"/>
      <c r="CN19" s="22"/>
      <c r="CO19" s="22"/>
      <c r="CP19" s="22"/>
      <c r="CQ19" s="22"/>
      <c r="CR19" s="22"/>
      <c r="CS19" s="22"/>
      <c r="CT19" s="22"/>
      <c r="CU19" s="22"/>
      <c r="CV19" s="22"/>
      <c r="CW19" s="22"/>
      <c r="CX19" s="20"/>
      <c r="CY19" s="22"/>
      <c r="CZ19" s="22"/>
      <c r="DA19" s="22"/>
      <c r="DB19" s="22"/>
      <c r="DC19" s="22"/>
      <c r="DD19" s="22"/>
      <c r="DE19" s="22"/>
      <c r="DF19" s="22"/>
      <c r="DG19" s="19"/>
      <c r="DH19" s="20"/>
      <c r="DI19" s="19"/>
      <c r="DJ19" s="22"/>
      <c r="DK19" s="22"/>
      <c r="DL19" s="22"/>
      <c r="DM19" s="22"/>
      <c r="DN19" s="76"/>
      <c r="DO19" s="22"/>
      <c r="DP19" s="20"/>
      <c r="DQ19" s="22"/>
      <c r="DR19" s="22"/>
      <c r="DS19" s="19"/>
      <c r="DT19" s="23"/>
      <c r="DU19" s="22"/>
      <c r="DV19" s="22"/>
      <c r="DW19" s="22"/>
      <c r="DX19" s="22"/>
      <c r="DY19" s="22"/>
      <c r="DZ19" s="19"/>
      <c r="EA19" s="23"/>
      <c r="EB19" s="19"/>
      <c r="EC19" s="19"/>
      <c r="ED19" s="19"/>
      <c r="EE19" s="19"/>
      <c r="EF19" s="19"/>
      <c r="EG19" s="19"/>
      <c r="EH19" s="19"/>
      <c r="EI19" s="19"/>
      <c r="EJ19" s="19"/>
      <c r="EK19" s="19"/>
      <c r="EL19" s="19"/>
      <c r="EM19" s="19"/>
      <c r="EN19" s="19"/>
      <c r="EO19" s="19"/>
    </row>
    <row r="20" spans="1:145" s="36" customFormat="1">
      <c r="A20" s="36" t="s">
        <v>225</v>
      </c>
      <c r="B20" s="1">
        <v>6</v>
      </c>
      <c r="D20" s="36" t="s">
        <v>186</v>
      </c>
      <c r="F20" s="36">
        <v>0.46500000000000002</v>
      </c>
      <c r="G20" s="19">
        <v>43.8</v>
      </c>
      <c r="H20" s="19">
        <v>1.2</v>
      </c>
      <c r="I20" s="19">
        <v>7.4</v>
      </c>
      <c r="J20" s="19">
        <v>7.52</v>
      </c>
      <c r="K20" s="19">
        <v>0.12</v>
      </c>
      <c r="L20" s="19">
        <v>11.3</v>
      </c>
      <c r="M20" s="19">
        <v>15.4</v>
      </c>
      <c r="N20" s="19">
        <v>0.27</v>
      </c>
      <c r="O20" s="19">
        <v>4.4000000000000004</v>
      </c>
      <c r="P20" s="19">
        <v>1.28</v>
      </c>
      <c r="Q20" s="19">
        <v>5.9</v>
      </c>
      <c r="R20" s="19">
        <v>0.36</v>
      </c>
      <c r="S20" s="19">
        <f>SUM(G20:R20)</f>
        <v>98.950000000000017</v>
      </c>
      <c r="U20" s="75"/>
      <c r="W20" s="19"/>
      <c r="X20" s="19"/>
      <c r="Y20" s="19"/>
      <c r="Z20" s="19"/>
      <c r="AA20" s="19"/>
      <c r="AB20" s="22"/>
      <c r="AC20" s="22"/>
      <c r="AF20" s="19">
        <f>(L20/40.31)/((L20/40.31)+(J20-(J20*0.15))*0.8998/71.85)</f>
        <v>0.77787392161122726</v>
      </c>
      <c r="AG20" s="20">
        <f>H20*5995</f>
        <v>7194</v>
      </c>
      <c r="AH20" s="20">
        <f>O20*8302</f>
        <v>36528.800000000003</v>
      </c>
      <c r="AI20" s="20">
        <f>P20*4364</f>
        <v>5585.92</v>
      </c>
      <c r="AJ20" s="19">
        <f t="shared" ref="AJ20:AJ25" si="47">N20+O20</f>
        <v>4.67</v>
      </c>
      <c r="AK20" s="19">
        <f t="shared" ref="AK20:AK25" si="48">O20/N20</f>
        <v>16.296296296296298</v>
      </c>
      <c r="AL20" s="19">
        <f t="shared" ref="AL20:AL25" si="49">N20/O20</f>
        <v>6.1363636363636363E-2</v>
      </c>
      <c r="AM20" s="19">
        <f>EK20/EG20</f>
        <v>2.0810810810810807</v>
      </c>
      <c r="AN20" s="19">
        <f>O20/I20</f>
        <v>0.59459459459459463</v>
      </c>
      <c r="AO20" s="19">
        <f>(EL20/61.98+EM20/94.2)/(EG20/101.96)</f>
        <v>0.70359803758352302</v>
      </c>
      <c r="AP20" s="19">
        <f>1/AO20</f>
        <v>1.42126604479236</v>
      </c>
      <c r="AQ20" s="19">
        <f>(EG20/101.96)/((EK20/56.08)+(EL20/61.98)+(EM20/94.2))</f>
        <v>0.22285379587166826</v>
      </c>
      <c r="AR20" s="20">
        <f>1000*(4*(EE20/60.08)-11*(EL20/61.98*2+EM20/94.2*2)-2*(EH20/159.69*2+EF20/79.87))</f>
        <v>1698.4139046973642</v>
      </c>
      <c r="AS20" s="20">
        <f>1000*(6*(EK20/56.08)+2*(EJ20/40.3)+EG20/101.96*2)</f>
        <v>2539.2115946506169</v>
      </c>
      <c r="AT20" s="20"/>
      <c r="AU20" s="19">
        <f t="shared" ref="AU20:AU25" si="50">O20/G20</f>
        <v>0.10045662100456622</v>
      </c>
      <c r="AV20" s="19">
        <f>(O20/94.2)/(I20/101.96)</f>
        <v>0.64357606013656965</v>
      </c>
      <c r="AX20" s="20">
        <v>456</v>
      </c>
      <c r="AY20" s="20">
        <v>4749</v>
      </c>
      <c r="AZ20" s="20">
        <v>4360</v>
      </c>
      <c r="BA20" s="22"/>
      <c r="BB20" s="22"/>
      <c r="BC20" s="22"/>
      <c r="BD20" s="22">
        <v>85</v>
      </c>
      <c r="BE20" s="22">
        <v>28</v>
      </c>
      <c r="BF20" s="22">
        <v>57</v>
      </c>
      <c r="BG20" s="22"/>
      <c r="BH20" s="22"/>
      <c r="BJ20" s="20">
        <v>761</v>
      </c>
      <c r="BK20" s="20"/>
      <c r="BL20" s="22"/>
      <c r="BM20" s="22"/>
      <c r="BN20" s="20"/>
      <c r="BO20" s="20"/>
      <c r="BP20" s="20"/>
      <c r="BQ20" s="22"/>
      <c r="BR20" s="22"/>
      <c r="BS20" s="22"/>
      <c r="BT20" s="22"/>
      <c r="BU20" s="22"/>
      <c r="BV20" s="22"/>
      <c r="BW20" s="19"/>
      <c r="BX20" s="19"/>
      <c r="BY20" s="19"/>
      <c r="BZ20" s="22"/>
      <c r="CA20" s="19"/>
      <c r="CB20" s="20"/>
      <c r="CC20" s="20"/>
      <c r="CD20" s="22"/>
      <c r="CE20" s="22"/>
      <c r="CG20" s="22"/>
      <c r="CH20" s="22"/>
      <c r="CI20" s="22"/>
      <c r="CJ20" s="22"/>
      <c r="CK20" s="22"/>
      <c r="CL20" s="22"/>
      <c r="CM20" s="22"/>
      <c r="CN20" s="22"/>
      <c r="CO20" s="22"/>
      <c r="CP20" s="22"/>
      <c r="CQ20" s="22"/>
      <c r="CR20" s="22"/>
      <c r="CS20" s="22"/>
      <c r="CT20" s="22"/>
      <c r="CU20" s="22"/>
      <c r="CV20" s="22"/>
      <c r="CW20" s="22"/>
      <c r="CX20" s="20"/>
      <c r="CY20" s="22"/>
      <c r="CZ20" s="22"/>
      <c r="DA20" s="22"/>
      <c r="DB20" s="22"/>
      <c r="DC20" s="22"/>
      <c r="DD20" s="22"/>
      <c r="DE20" s="22"/>
      <c r="DF20" s="22"/>
      <c r="DG20" s="19"/>
      <c r="DH20" s="20"/>
      <c r="DI20" s="19"/>
      <c r="DJ20" s="22"/>
      <c r="DK20" s="22"/>
      <c r="DL20" s="22"/>
      <c r="DM20" s="22"/>
      <c r="DN20" s="76"/>
      <c r="DO20" s="22"/>
      <c r="DP20" s="20"/>
      <c r="DQ20" s="22"/>
      <c r="DR20" s="22"/>
      <c r="DS20" s="19"/>
      <c r="DT20" s="23">
        <f>1/AY20</f>
        <v>2.105706464518846E-4</v>
      </c>
      <c r="DU20" s="22"/>
      <c r="DV20" s="22"/>
      <c r="DW20" s="22"/>
      <c r="DX20" s="22"/>
      <c r="DY20" s="22"/>
      <c r="DZ20" s="19">
        <f>EK20*100/AY20</f>
        <v>0.3498530537662124</v>
      </c>
      <c r="EA20" s="23"/>
      <c r="EB20" s="19"/>
      <c r="EC20" s="19"/>
      <c r="ED20" s="19"/>
      <c r="EE20" s="19">
        <f t="shared" ref="EE20:EN21" si="51">100*G20/($G20+$H20+$I20+$J20+$K20+$L20+$M20+$N20+$O20+$P20)</f>
        <v>47.254288488510085</v>
      </c>
      <c r="EF20" s="19">
        <f t="shared" si="51"/>
        <v>1.294638040781098</v>
      </c>
      <c r="EG20" s="19">
        <f t="shared" si="51"/>
        <v>7.9836012514834387</v>
      </c>
      <c r="EH20" s="19">
        <f t="shared" si="51"/>
        <v>8.1130650555615489</v>
      </c>
      <c r="EI20" s="19">
        <f t="shared" si="51"/>
        <v>0.12946380407810981</v>
      </c>
      <c r="EJ20" s="19">
        <f t="shared" si="51"/>
        <v>12.191174884022008</v>
      </c>
      <c r="EK20" s="19">
        <f t="shared" si="51"/>
        <v>16.614521523357425</v>
      </c>
      <c r="EL20" s="19">
        <f t="shared" si="51"/>
        <v>0.29129355917574706</v>
      </c>
      <c r="EM20" s="19">
        <f t="shared" si="51"/>
        <v>4.7470061495306934</v>
      </c>
      <c r="EN20" s="19">
        <f t="shared" si="51"/>
        <v>1.380947243499838</v>
      </c>
      <c r="EO20" s="19">
        <f>SUM(EE20:EN20)</f>
        <v>99.999999999999972</v>
      </c>
    </row>
    <row r="21" spans="1:145" s="36" customFormat="1">
      <c r="A21" s="36" t="s">
        <v>225</v>
      </c>
      <c r="B21" s="1">
        <v>6</v>
      </c>
      <c r="D21" s="36" t="s">
        <v>204</v>
      </c>
      <c r="E21" s="36" t="s">
        <v>63</v>
      </c>
      <c r="F21" s="36">
        <v>0.46500000000000002</v>
      </c>
      <c r="G21" s="19">
        <v>42.6</v>
      </c>
      <c r="H21" s="19">
        <v>1.0900000000000001</v>
      </c>
      <c r="I21" s="19">
        <v>7.71</v>
      </c>
      <c r="J21" s="19">
        <v>7.8304000000000009</v>
      </c>
      <c r="K21" s="19">
        <v>0.11</v>
      </c>
      <c r="L21" s="19">
        <v>10.6</v>
      </c>
      <c r="M21" s="19">
        <v>14.1</v>
      </c>
      <c r="N21" s="19">
        <v>0.39</v>
      </c>
      <c r="O21" s="19">
        <v>8.4499999999999993</v>
      </c>
      <c r="P21" s="19">
        <v>1.18</v>
      </c>
      <c r="Q21" s="19">
        <v>6.3</v>
      </c>
      <c r="R21" s="19"/>
      <c r="S21" s="19">
        <f>SUM(G21:R21)</f>
        <v>100.3604</v>
      </c>
      <c r="U21" s="75"/>
      <c r="W21" s="19"/>
      <c r="X21" s="19"/>
      <c r="Y21" s="19"/>
      <c r="Z21" s="19"/>
      <c r="AA21" s="19"/>
      <c r="AB21" s="22"/>
      <c r="AC21" s="22"/>
      <c r="AF21" s="19">
        <f>(L21/40.31)/((L21/40.31)+(J21-(J21*0.15))*0.8998/71.85)</f>
        <v>0.75931416807075347</v>
      </c>
      <c r="AG21" s="20">
        <f>H21*5995</f>
        <v>6534.55</v>
      </c>
      <c r="AH21" s="20">
        <f>O21*8302</f>
        <v>70151.899999999994</v>
      </c>
      <c r="AI21" s="20">
        <f>P21*4364</f>
        <v>5149.5199999999995</v>
      </c>
      <c r="AJ21" s="19">
        <f t="shared" si="47"/>
        <v>8.84</v>
      </c>
      <c r="AK21" s="19">
        <f t="shared" si="48"/>
        <v>21.666666666666664</v>
      </c>
      <c r="AL21" s="19">
        <f t="shared" si="49"/>
        <v>4.6153846153846156E-2</v>
      </c>
      <c r="AM21" s="19">
        <f>EK21/EG21</f>
        <v>1.8287937743190659</v>
      </c>
      <c r="AN21" s="19">
        <f>O21/I21</f>
        <v>1.0959792477302204</v>
      </c>
      <c r="AO21" s="19">
        <f>(EL21/61.98+EM21/94.2)/(EG21/101.96)</f>
        <v>1.2694762212815693</v>
      </c>
      <c r="AP21" s="19">
        <f>1/AO21</f>
        <v>0.78772645224537874</v>
      </c>
      <c r="AQ21" s="19">
        <f>(EG21/101.96)/((EK21/56.08)+(EL21/61.98)+(EM21/94.2))</f>
        <v>0.21765451359553495</v>
      </c>
      <c r="AR21" s="20">
        <f>1000*(4*(EE21/60.08)-11*(EL21/61.98*2+EM21/94.2*2)-2*(EH21/159.69*2+EF21/79.87))</f>
        <v>532.52115325625209</v>
      </c>
      <c r="AS21" s="20">
        <f>1000*(6*(EK21/56.08)+2*(EJ21/40.3)+EG21/101.96*2)</f>
        <v>2323.8786678014403</v>
      </c>
      <c r="AT21" s="20"/>
      <c r="AU21" s="19">
        <f t="shared" si="50"/>
        <v>0.19835680751173707</v>
      </c>
      <c r="AV21" s="19">
        <f>(O21/94.2)/(I21/101.96)</f>
        <v>1.1862637377767862</v>
      </c>
      <c r="AX21" s="20">
        <v>432</v>
      </c>
      <c r="AY21" s="20">
        <v>3987</v>
      </c>
      <c r="AZ21" s="20">
        <v>3570</v>
      </c>
      <c r="BA21" s="22"/>
      <c r="BB21" s="22">
        <v>14</v>
      </c>
      <c r="BC21" s="22">
        <v>70</v>
      </c>
      <c r="BD21" s="22">
        <v>52</v>
      </c>
      <c r="BE21" s="22">
        <v>33</v>
      </c>
      <c r="BF21" s="22">
        <v>70</v>
      </c>
      <c r="BG21" s="22"/>
      <c r="BH21" s="22"/>
      <c r="BI21" s="36">
        <v>44</v>
      </c>
      <c r="BJ21" s="20">
        <v>662</v>
      </c>
      <c r="BK21" s="20">
        <v>42</v>
      </c>
      <c r="BL21" s="22"/>
      <c r="BM21" s="22"/>
      <c r="BN21" s="20"/>
      <c r="BO21" s="20">
        <v>460</v>
      </c>
      <c r="BP21" s="20"/>
      <c r="BQ21" s="22"/>
      <c r="BR21" s="22"/>
      <c r="BS21" s="22"/>
      <c r="BT21" s="22"/>
      <c r="BU21" s="22"/>
      <c r="BV21" s="22"/>
      <c r="BW21" s="19"/>
      <c r="BX21" s="19"/>
      <c r="BY21" s="19"/>
      <c r="BZ21" s="22"/>
      <c r="CA21" s="19"/>
      <c r="CB21" s="20"/>
      <c r="CC21" s="20">
        <v>128</v>
      </c>
      <c r="CD21" s="22"/>
      <c r="CE21" s="22"/>
      <c r="CG21" s="22"/>
      <c r="CH21" s="22">
        <f>BO21/0.635</f>
        <v>724.40944881889766</v>
      </c>
      <c r="CI21" s="22"/>
      <c r="CJ21" s="22"/>
      <c r="CK21" s="22"/>
      <c r="CL21" s="22"/>
      <c r="CM21" s="22"/>
      <c r="CN21" s="22"/>
      <c r="CO21" s="22"/>
      <c r="CP21" s="22"/>
      <c r="CQ21" s="22"/>
      <c r="CR21" s="22"/>
      <c r="CS21" s="22"/>
      <c r="CT21" s="22"/>
      <c r="CU21" s="22">
        <f>AZ21/BK21</f>
        <v>85</v>
      </c>
      <c r="CV21" s="22"/>
      <c r="CW21" s="22"/>
      <c r="CX21" s="20">
        <f>AG21/BK21</f>
        <v>155.5845238095238</v>
      </c>
      <c r="CY21" s="22"/>
      <c r="CZ21" s="22"/>
      <c r="DA21" s="22"/>
      <c r="DB21" s="22">
        <f>BJ21/BK21</f>
        <v>15.761904761904763</v>
      </c>
      <c r="DC21" s="22">
        <f>AZ21/CC21</f>
        <v>27.890625</v>
      </c>
      <c r="DD21" s="22"/>
      <c r="DE21" s="22"/>
      <c r="DF21" s="22"/>
      <c r="DG21" s="19">
        <f>BK21/BI21</f>
        <v>0.95454545454545459</v>
      </c>
      <c r="DH21" s="20"/>
      <c r="DI21" s="19"/>
      <c r="DJ21" s="22"/>
      <c r="DK21" s="22"/>
      <c r="DL21" s="22"/>
      <c r="DM21" s="22"/>
      <c r="DN21" s="76"/>
      <c r="DO21" s="22"/>
      <c r="DP21" s="20"/>
      <c r="DQ21" s="22"/>
      <c r="DR21" s="22"/>
      <c r="DS21" s="19"/>
      <c r="DT21" s="23">
        <f>1/AY21</f>
        <v>2.5081514923501377E-4</v>
      </c>
      <c r="DU21" s="22">
        <f>BJ21/BI21</f>
        <v>15.045454545454545</v>
      </c>
      <c r="DV21" s="22"/>
      <c r="DW21" s="22">
        <f>1.74+LOG(BK21/BI21)-1.92*LOG(BJ21/BI21)</f>
        <v>-0.54082158695903093</v>
      </c>
      <c r="DX21" s="22">
        <f>BK21*100/BJ21</f>
        <v>6.3444108761329305</v>
      </c>
      <c r="DY21" s="22">
        <f>CC21*100/BJ21</f>
        <v>19.335347432024168</v>
      </c>
      <c r="DZ21" s="19">
        <f>EK21*100/AY21</f>
        <v>0.37598113597366101</v>
      </c>
      <c r="EA21" s="23"/>
      <c r="EB21" s="19">
        <f>CC21/BK21</f>
        <v>3.0476190476190474</v>
      </c>
      <c r="EC21" s="19"/>
      <c r="ED21" s="19"/>
      <c r="EE21" s="19">
        <f t="shared" si="51"/>
        <v>45.29004767149619</v>
      </c>
      <c r="EF21" s="19">
        <f t="shared" si="51"/>
        <v>1.1588298582612875</v>
      </c>
      <c r="EG21" s="19">
        <f t="shared" si="51"/>
        <v>8.1968607405454375</v>
      </c>
      <c r="EH21" s="19">
        <f t="shared" si="51"/>
        <v>8.3248635982836561</v>
      </c>
      <c r="EI21" s="19">
        <f t="shared" si="51"/>
        <v>0.11694613248508405</v>
      </c>
      <c r="EJ21" s="19">
        <f t="shared" si="51"/>
        <v>11.269354584926282</v>
      </c>
      <c r="EK21" s="19">
        <f t="shared" si="51"/>
        <v>14.990367891269864</v>
      </c>
      <c r="EL21" s="19">
        <f t="shared" si="51"/>
        <v>0.41462719699257072</v>
      </c>
      <c r="EM21" s="19">
        <f t="shared" si="51"/>
        <v>8.9835892681723646</v>
      </c>
      <c r="EN21" s="19">
        <f t="shared" si="51"/>
        <v>1.2545130575672652</v>
      </c>
      <c r="EO21" s="19">
        <f>SUM(EE21:EN21)</f>
        <v>100</v>
      </c>
    </row>
    <row r="22" spans="1:145" s="36" customFormat="1">
      <c r="A22" s="36" t="s">
        <v>225</v>
      </c>
      <c r="B22" s="1">
        <v>6</v>
      </c>
      <c r="D22" s="36" t="s">
        <v>193</v>
      </c>
      <c r="E22" s="36" t="s">
        <v>156</v>
      </c>
      <c r="F22" s="36">
        <v>0.46500000000000002</v>
      </c>
      <c r="G22" s="19">
        <v>42.74</v>
      </c>
      <c r="H22" s="19"/>
      <c r="I22" s="19"/>
      <c r="J22" s="19"/>
      <c r="K22" s="19"/>
      <c r="L22" s="19"/>
      <c r="M22" s="19">
        <v>15.26</v>
      </c>
      <c r="N22" s="19">
        <v>0.25</v>
      </c>
      <c r="O22" s="19">
        <v>5.68</v>
      </c>
      <c r="P22" s="19"/>
      <c r="Q22" s="19"/>
      <c r="R22" s="19"/>
      <c r="S22" s="19"/>
      <c r="U22" s="75">
        <v>0.71120000000000005</v>
      </c>
      <c r="V22" s="75"/>
      <c r="W22" s="19"/>
      <c r="X22" s="19"/>
      <c r="Y22" s="19"/>
      <c r="Z22" s="19"/>
      <c r="AA22" s="19"/>
      <c r="AB22" s="22"/>
      <c r="AC22" s="22"/>
      <c r="AF22" s="19"/>
      <c r="AG22" s="20"/>
      <c r="AH22" s="20"/>
      <c r="AI22" s="20"/>
      <c r="AJ22" s="19">
        <f t="shared" si="47"/>
        <v>5.93</v>
      </c>
      <c r="AK22" s="19">
        <f t="shared" si="48"/>
        <v>22.72</v>
      </c>
      <c r="AL22" s="19">
        <f t="shared" si="49"/>
        <v>4.4014084507042257E-2</v>
      </c>
      <c r="AM22" s="19"/>
      <c r="AN22" s="19"/>
      <c r="AO22" s="19"/>
      <c r="AP22" s="19"/>
      <c r="AQ22" s="19"/>
      <c r="AR22" s="20"/>
      <c r="AS22" s="20"/>
      <c r="AT22" s="20"/>
      <c r="AU22" s="19">
        <f t="shared" si="50"/>
        <v>0.13289658399625642</v>
      </c>
      <c r="AV22" s="19"/>
      <c r="AX22" s="20">
        <v>466</v>
      </c>
      <c r="AY22" s="20">
        <v>3562</v>
      </c>
      <c r="AZ22" s="20"/>
      <c r="BA22" s="22"/>
      <c r="BB22" s="22"/>
      <c r="BC22" s="22"/>
      <c r="BD22" s="22">
        <v>75</v>
      </c>
      <c r="BE22" s="22"/>
      <c r="BF22" s="22">
        <v>66</v>
      </c>
      <c r="BG22" s="22"/>
      <c r="BH22" s="22"/>
      <c r="BJ22" s="20"/>
      <c r="BK22" s="20"/>
      <c r="BL22" s="22"/>
      <c r="BM22" s="22"/>
      <c r="BN22" s="20"/>
      <c r="BO22" s="20">
        <v>586</v>
      </c>
      <c r="BP22" s="20"/>
      <c r="BQ22" s="22"/>
      <c r="BR22" s="22"/>
      <c r="BS22" s="22"/>
      <c r="BT22" s="22"/>
      <c r="BU22" s="22"/>
      <c r="BV22" s="22"/>
      <c r="BW22" s="19"/>
      <c r="BX22" s="19"/>
      <c r="BY22" s="19"/>
      <c r="BZ22" s="22"/>
      <c r="CA22" s="19"/>
      <c r="CB22" s="20"/>
      <c r="CC22" s="20">
        <v>163</v>
      </c>
      <c r="CD22" s="22"/>
      <c r="CE22" s="22"/>
      <c r="CG22" s="22"/>
      <c r="CH22" s="22">
        <f>BO22/0.635</f>
        <v>922.83464566929138</v>
      </c>
      <c r="CI22" s="22"/>
      <c r="CJ22" s="22"/>
      <c r="CK22" s="22"/>
      <c r="CL22" s="22"/>
      <c r="CM22" s="22"/>
      <c r="CN22" s="22"/>
      <c r="CO22" s="22"/>
      <c r="CP22" s="22"/>
      <c r="CQ22" s="22"/>
      <c r="CR22" s="22"/>
      <c r="CS22" s="22"/>
      <c r="CT22" s="22"/>
      <c r="CU22" s="22"/>
      <c r="CV22" s="22"/>
      <c r="CW22" s="22"/>
      <c r="CX22" s="20"/>
      <c r="CY22" s="22"/>
      <c r="CZ22" s="22"/>
      <c r="DA22" s="22"/>
      <c r="DB22" s="22"/>
      <c r="DC22" s="22">
        <f>AZ22/CC22</f>
        <v>0</v>
      </c>
      <c r="DD22" s="22"/>
      <c r="DE22" s="22"/>
      <c r="DF22" s="22"/>
      <c r="DG22" s="19"/>
      <c r="DH22" s="20"/>
      <c r="DI22" s="19"/>
      <c r="DJ22" s="22"/>
      <c r="DK22" s="22"/>
      <c r="DL22" s="22"/>
      <c r="DM22" s="22"/>
      <c r="DN22" s="76"/>
      <c r="DO22" s="22"/>
      <c r="DP22" s="20"/>
      <c r="DQ22" s="22"/>
      <c r="DR22" s="22"/>
      <c r="DS22" s="19"/>
      <c r="DT22" s="23"/>
      <c r="DU22" s="22"/>
      <c r="DV22" s="22"/>
      <c r="DW22" s="22"/>
      <c r="DX22" s="22"/>
      <c r="DY22" s="22"/>
      <c r="DZ22" s="19"/>
      <c r="EA22" s="23"/>
      <c r="EB22" s="19"/>
      <c r="EC22" s="19"/>
      <c r="ED22" s="19"/>
      <c r="EE22" s="19"/>
      <c r="EF22" s="19"/>
      <c r="EG22" s="19"/>
      <c r="EH22" s="19"/>
      <c r="EI22" s="19"/>
      <c r="EJ22" s="19"/>
      <c r="EK22" s="19"/>
      <c r="EL22" s="19"/>
      <c r="EM22" s="19"/>
      <c r="EN22" s="19"/>
      <c r="EO22" s="19"/>
    </row>
    <row r="23" spans="1:145" s="36" customFormat="1">
      <c r="A23" s="36" t="s">
        <v>225</v>
      </c>
      <c r="B23" s="1">
        <v>6</v>
      </c>
      <c r="D23" s="36" t="s">
        <v>226</v>
      </c>
      <c r="E23" s="36" t="s">
        <v>189</v>
      </c>
      <c r="F23" s="36">
        <v>0.46500000000000002</v>
      </c>
      <c r="G23" s="19">
        <v>43.42</v>
      </c>
      <c r="H23" s="19">
        <v>1.18</v>
      </c>
      <c r="I23" s="19">
        <v>7.11</v>
      </c>
      <c r="J23" s="19">
        <v>7.8699000000000003</v>
      </c>
      <c r="K23" s="19">
        <v>0.11</v>
      </c>
      <c r="L23" s="19">
        <v>10.41</v>
      </c>
      <c r="M23" s="19">
        <v>14.67</v>
      </c>
      <c r="N23" s="19">
        <v>0.69</v>
      </c>
      <c r="O23" s="19">
        <v>8.9</v>
      </c>
      <c r="P23" s="19">
        <v>1.17</v>
      </c>
      <c r="Q23" s="19">
        <v>3.05</v>
      </c>
      <c r="R23" s="19"/>
      <c r="S23" s="19">
        <f>SUM(G23:R23)</f>
        <v>98.579900000000009</v>
      </c>
      <c r="U23" s="75"/>
      <c r="V23" s="75"/>
      <c r="W23" s="19"/>
      <c r="X23" s="19"/>
      <c r="Y23" s="19"/>
      <c r="Z23" s="19"/>
      <c r="AA23" s="19"/>
      <c r="AB23" s="22"/>
      <c r="AC23" s="22"/>
      <c r="AF23" s="19">
        <f>(L23/40.31)/((L23/40.31)+(J23-(J23*0.15))*0.8998/71.85)</f>
        <v>0.75506375814875615</v>
      </c>
      <c r="AG23" s="20">
        <f>H23*5995</f>
        <v>7074.0999999999995</v>
      </c>
      <c r="AH23" s="20">
        <f>O23*8302</f>
        <v>73887.8</v>
      </c>
      <c r="AI23" s="20">
        <f>P23*4364</f>
        <v>5105.88</v>
      </c>
      <c r="AJ23" s="19">
        <f t="shared" si="47"/>
        <v>9.59</v>
      </c>
      <c r="AK23" s="19">
        <f t="shared" si="48"/>
        <v>12.898550724637683</v>
      </c>
      <c r="AL23" s="19">
        <f t="shared" si="49"/>
        <v>7.7528089887640442E-2</v>
      </c>
      <c r="AM23" s="19">
        <f>EK23/EG23</f>
        <v>2.0632911392405062</v>
      </c>
      <c r="AN23" s="19">
        <f>O23/I23</f>
        <v>1.2517580872011251</v>
      </c>
      <c r="AO23" s="19">
        <f>(EL23/61.98+EM23/94.2)/(EG23/101.96)</f>
        <v>1.514521204860932</v>
      </c>
      <c r="AP23" s="19">
        <f>1/AO23</f>
        <v>0.66027467742970503</v>
      </c>
      <c r="AQ23" s="19">
        <f>(EG23/101.96)/((EK23/56.08)+(EL23/61.98)+(EM23/94.2))</f>
        <v>0.18990373557550788</v>
      </c>
      <c r="AR23" s="20">
        <f>1000*(4*(EE23/60.08)-11*(EL23/61.98*2+EM23/94.2*2)-2*(EH23/159.69*2+EF23/79.87))</f>
        <v>356.60125035123048</v>
      </c>
      <c r="AS23" s="20">
        <f>1000*(6*(EK23/56.08)+2*(EJ23/40.3)+EG23/101.96*2)</f>
        <v>2329.7787152299466</v>
      </c>
      <c r="AT23" s="20"/>
      <c r="AU23" s="19">
        <f t="shared" si="50"/>
        <v>0.20497466605251036</v>
      </c>
      <c r="AV23" s="19">
        <f>(O23/94.2)/(I23/101.96)</f>
        <v>1.354875313917481</v>
      </c>
      <c r="AX23" s="20"/>
      <c r="AY23" s="20"/>
      <c r="AZ23" s="20"/>
      <c r="BA23" s="22"/>
      <c r="BB23" s="22"/>
      <c r="BC23" s="22"/>
      <c r="BD23" s="22"/>
      <c r="BE23" s="22"/>
      <c r="BF23" s="22"/>
      <c r="BG23" s="22"/>
      <c r="BH23" s="22"/>
      <c r="BJ23" s="20"/>
      <c r="BK23" s="20"/>
      <c r="BL23" s="22"/>
      <c r="BM23" s="22"/>
      <c r="BN23" s="20"/>
      <c r="BO23" s="20"/>
      <c r="BP23" s="20"/>
      <c r="BQ23" s="22"/>
      <c r="BR23" s="22"/>
      <c r="BS23" s="22"/>
      <c r="BT23" s="22"/>
      <c r="BU23" s="22"/>
      <c r="BV23" s="22"/>
      <c r="BW23" s="19"/>
      <c r="BX23" s="19"/>
      <c r="BY23" s="19"/>
      <c r="BZ23" s="22"/>
      <c r="CA23" s="19"/>
      <c r="CB23" s="20"/>
      <c r="CC23" s="20"/>
      <c r="CD23" s="22"/>
      <c r="CE23" s="22"/>
      <c r="CG23" s="22"/>
      <c r="CH23" s="22"/>
      <c r="CI23" s="22"/>
      <c r="CJ23" s="22"/>
      <c r="CK23" s="22"/>
      <c r="CL23" s="22"/>
      <c r="CM23" s="22"/>
      <c r="CN23" s="22"/>
      <c r="CO23" s="22"/>
      <c r="CP23" s="22"/>
      <c r="CQ23" s="22"/>
      <c r="CR23" s="22"/>
      <c r="CS23" s="22"/>
      <c r="CT23" s="22"/>
      <c r="CU23" s="22"/>
      <c r="CV23" s="22"/>
      <c r="CW23" s="22"/>
      <c r="CX23" s="20"/>
      <c r="CY23" s="22"/>
      <c r="CZ23" s="22"/>
      <c r="DA23" s="22"/>
      <c r="DB23" s="22"/>
      <c r="DC23" s="22"/>
      <c r="DD23" s="22"/>
      <c r="DE23" s="22"/>
      <c r="DF23" s="22"/>
      <c r="DG23" s="19"/>
      <c r="DH23" s="20"/>
      <c r="DI23" s="19"/>
      <c r="DJ23" s="22"/>
      <c r="DK23" s="22"/>
      <c r="DL23" s="22"/>
      <c r="DM23" s="22"/>
      <c r="DN23" s="19"/>
      <c r="DO23" s="22"/>
      <c r="DP23" s="20"/>
      <c r="DQ23" s="22"/>
      <c r="DR23" s="22"/>
      <c r="DS23" s="19"/>
      <c r="DT23" s="23"/>
      <c r="DU23" s="22"/>
      <c r="DV23" s="22"/>
      <c r="DW23" s="22"/>
      <c r="DX23" s="22"/>
      <c r="DY23" s="22"/>
      <c r="DZ23" s="19"/>
      <c r="EA23" s="23"/>
      <c r="EB23" s="19"/>
      <c r="EC23" s="19"/>
      <c r="ED23" s="19"/>
      <c r="EE23" s="19">
        <f t="shared" ref="EE23:EN25" si="52">100*G23/($G23+$H23+$I23+$J23+$K23+$L23+$M23+$N23+$O23+$P23)</f>
        <v>45.451738146904788</v>
      </c>
      <c r="EF23" s="19">
        <f t="shared" si="52"/>
        <v>1.235215361891931</v>
      </c>
      <c r="EG23" s="19">
        <f t="shared" si="52"/>
        <v>7.4426959517386697</v>
      </c>
      <c r="EH23" s="19">
        <f t="shared" si="52"/>
        <v>8.2381537089434822</v>
      </c>
      <c r="EI23" s="19">
        <f t="shared" si="52"/>
        <v>0.11514719475263764</v>
      </c>
      <c r="EJ23" s="19">
        <f t="shared" si="52"/>
        <v>10.897111794317798</v>
      </c>
      <c r="EK23" s="19">
        <f t="shared" si="52"/>
        <v>15.356448609283584</v>
      </c>
      <c r="EL23" s="19">
        <f t="shared" si="52"/>
        <v>0.72228694890290879</v>
      </c>
      <c r="EM23" s="19">
        <f t="shared" si="52"/>
        <v>9.3164548481679539</v>
      </c>
      <c r="EN23" s="19">
        <f t="shared" si="52"/>
        <v>1.2247474350962366</v>
      </c>
      <c r="EO23" s="19">
        <f>SUM(EE23:EN23)</f>
        <v>99.999999999999986</v>
      </c>
    </row>
    <row r="24" spans="1:145" s="36" customFormat="1">
      <c r="A24" s="36" t="s">
        <v>225</v>
      </c>
      <c r="B24" s="1">
        <v>6</v>
      </c>
      <c r="D24" s="36" t="s">
        <v>226</v>
      </c>
      <c r="E24" s="36" t="s">
        <v>189</v>
      </c>
      <c r="F24" s="36">
        <v>0.46500000000000002</v>
      </c>
      <c r="G24" s="19">
        <v>43.74</v>
      </c>
      <c r="H24" s="19">
        <v>1.22</v>
      </c>
      <c r="I24" s="19">
        <v>7.24</v>
      </c>
      <c r="J24" s="19">
        <v>8.5359000000000016</v>
      </c>
      <c r="K24" s="19">
        <v>0.11</v>
      </c>
      <c r="L24" s="19">
        <v>10.96</v>
      </c>
      <c r="M24" s="19">
        <v>15.42</v>
      </c>
      <c r="N24" s="19">
        <v>0.5</v>
      </c>
      <c r="O24" s="19">
        <v>7.75</v>
      </c>
      <c r="P24" s="19">
        <v>1.2</v>
      </c>
      <c r="Q24" s="19">
        <v>2.88</v>
      </c>
      <c r="R24" s="19"/>
      <c r="S24" s="19">
        <f>SUM(G24:R24)</f>
        <v>99.555900000000008</v>
      </c>
      <c r="U24" s="75"/>
      <c r="V24" s="75"/>
      <c r="W24" s="19"/>
      <c r="X24" s="19"/>
      <c r="Y24" s="19"/>
      <c r="Z24" s="19"/>
      <c r="AA24" s="19"/>
      <c r="AB24" s="22"/>
      <c r="AC24" s="22"/>
      <c r="AF24" s="19">
        <f>(L24/40.31)/((L24/40.31)+(J24-(J24*0.15))*0.8998/71.85)</f>
        <v>0.74952005360384777</v>
      </c>
      <c r="AG24" s="20">
        <f>H24*5995</f>
        <v>7313.9</v>
      </c>
      <c r="AH24" s="20">
        <f>O24*8302</f>
        <v>64340.5</v>
      </c>
      <c r="AI24" s="20">
        <f>P24*4364</f>
        <v>5236.8</v>
      </c>
      <c r="AJ24" s="19">
        <f t="shared" si="47"/>
        <v>8.25</v>
      </c>
      <c r="AK24" s="19">
        <f t="shared" si="48"/>
        <v>15.5</v>
      </c>
      <c r="AL24" s="19">
        <f t="shared" si="49"/>
        <v>6.4516129032258063E-2</v>
      </c>
      <c r="AM24" s="19">
        <f>EK24/EG24</f>
        <v>2.1298342541436464</v>
      </c>
      <c r="AN24" s="19">
        <f>O24/I24</f>
        <v>1.0704419889502763</v>
      </c>
      <c r="AO24" s="19">
        <f>(EL24/61.98+EM24/94.2)/(EG24/101.96)</f>
        <v>1.272230976433431</v>
      </c>
      <c r="AP24" s="19">
        <f>1/AO24</f>
        <v>0.78602079223333909</v>
      </c>
      <c r="AQ24" s="19">
        <f>(EG24/101.96)/((EK24/56.08)+(EL24/61.98)+(EM24/94.2))</f>
        <v>0.19438164013626827</v>
      </c>
      <c r="AR24" s="20">
        <f>1000*(4*(EE24/60.08)-11*(EL24/61.98*2+EM24/94.2*2)-2*(EH24/159.69*2+EF24/79.87))</f>
        <v>703.69181947872983</v>
      </c>
      <c r="AS24" s="20">
        <f>1000*(6*(EK24/56.08)+2*(EJ24/40.3)+EG24/101.96*2)</f>
        <v>2416.0344952100691</v>
      </c>
      <c r="AT24" s="20"/>
      <c r="AU24" s="19">
        <f t="shared" si="50"/>
        <v>0.17718335619570186</v>
      </c>
      <c r="AV24" s="19">
        <f>(O24/94.2)/(I24/101.96)</f>
        <v>1.1586227727533986</v>
      </c>
      <c r="AX24" s="20"/>
      <c r="AY24" s="20"/>
      <c r="AZ24" s="20"/>
      <c r="BA24" s="22"/>
      <c r="BB24" s="22"/>
      <c r="BC24" s="22"/>
      <c r="BD24" s="22"/>
      <c r="BE24" s="22"/>
      <c r="BF24" s="22"/>
      <c r="BG24" s="22"/>
      <c r="BH24" s="22"/>
      <c r="BJ24" s="20"/>
      <c r="BK24" s="20"/>
      <c r="BL24" s="22"/>
      <c r="BM24" s="22"/>
      <c r="BN24" s="20"/>
      <c r="BO24" s="20"/>
      <c r="BP24" s="20"/>
      <c r="BQ24" s="22"/>
      <c r="BR24" s="22"/>
      <c r="BS24" s="22"/>
      <c r="BT24" s="22"/>
      <c r="BU24" s="22"/>
      <c r="BV24" s="22"/>
      <c r="BW24" s="19"/>
      <c r="BX24" s="19"/>
      <c r="BY24" s="19"/>
      <c r="BZ24" s="22"/>
      <c r="CA24" s="19"/>
      <c r="CB24" s="20"/>
      <c r="CC24" s="20"/>
      <c r="CD24" s="22"/>
      <c r="CE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0"/>
      <c r="CY24" s="22"/>
      <c r="CZ24" s="22"/>
      <c r="DA24" s="22"/>
      <c r="DB24" s="22"/>
      <c r="DC24" s="22"/>
      <c r="DD24" s="22"/>
      <c r="DE24" s="22"/>
      <c r="DF24" s="22"/>
      <c r="DG24" s="19"/>
      <c r="DH24" s="20"/>
      <c r="DI24" s="19"/>
      <c r="DJ24" s="22"/>
      <c r="DK24" s="22"/>
      <c r="DL24" s="22"/>
      <c r="DM24" s="22"/>
      <c r="DN24" s="19"/>
      <c r="DO24" s="22"/>
      <c r="DP24" s="20"/>
      <c r="DQ24" s="22"/>
      <c r="DR24" s="22"/>
      <c r="DS24" s="19"/>
      <c r="DT24" s="23"/>
      <c r="DU24" s="22"/>
      <c r="DV24" s="22"/>
      <c r="DW24" s="22"/>
      <c r="DX24" s="22"/>
      <c r="DY24" s="22"/>
      <c r="DZ24" s="19"/>
      <c r="EA24" s="23"/>
      <c r="EB24" s="19"/>
      <c r="EC24" s="19"/>
      <c r="ED24" s="19"/>
      <c r="EE24" s="19">
        <f t="shared" si="52"/>
        <v>45.243954284366623</v>
      </c>
      <c r="EF24" s="19">
        <f t="shared" si="52"/>
        <v>1.2619484276846658</v>
      </c>
      <c r="EG24" s="19">
        <f t="shared" si="52"/>
        <v>7.4889398495385082</v>
      </c>
      <c r="EH24" s="19">
        <f t="shared" si="52"/>
        <v>8.829398019568476</v>
      </c>
      <c r="EI24" s="19">
        <f t="shared" si="52"/>
        <v>0.11378223528304364</v>
      </c>
      <c r="EJ24" s="19">
        <f t="shared" si="52"/>
        <v>11.336848170019621</v>
      </c>
      <c r="EK24" s="19">
        <f t="shared" si="52"/>
        <v>15.950200618768481</v>
      </c>
      <c r="EL24" s="19">
        <f t="shared" si="52"/>
        <v>0.51719197855928922</v>
      </c>
      <c r="EM24" s="19">
        <f t="shared" si="52"/>
        <v>8.016475667668983</v>
      </c>
      <c r="EN24" s="19">
        <f t="shared" si="52"/>
        <v>1.2412607485422942</v>
      </c>
      <c r="EO24" s="19">
        <f>SUM(EE24:EN24)</f>
        <v>99.999999999999986</v>
      </c>
    </row>
    <row r="25" spans="1:145" s="36" customFormat="1">
      <c r="A25" s="36" t="s">
        <v>225</v>
      </c>
      <c r="B25" s="1">
        <v>6</v>
      </c>
      <c r="D25" s="36" t="s">
        <v>226</v>
      </c>
      <c r="E25" s="36" t="s">
        <v>189</v>
      </c>
      <c r="F25" s="36">
        <v>0.46500000000000002</v>
      </c>
      <c r="G25" s="19">
        <v>44.02</v>
      </c>
      <c r="H25" s="19">
        <v>1.2</v>
      </c>
      <c r="I25" s="19">
        <v>7.27</v>
      </c>
      <c r="J25" s="19">
        <v>8.0586000000000002</v>
      </c>
      <c r="K25" s="19">
        <v>0.11</v>
      </c>
      <c r="L25" s="19">
        <v>10.75</v>
      </c>
      <c r="M25" s="19">
        <v>15.31</v>
      </c>
      <c r="N25" s="19">
        <v>0.45</v>
      </c>
      <c r="O25" s="19">
        <v>7.33</v>
      </c>
      <c r="P25" s="19">
        <v>1.1599999999999999</v>
      </c>
      <c r="Q25" s="19">
        <v>3.24</v>
      </c>
      <c r="R25" s="19"/>
      <c r="S25" s="19">
        <f>SUM(G25:R25)</f>
        <v>98.898600000000002</v>
      </c>
      <c r="U25" s="75"/>
      <c r="V25" s="75"/>
      <c r="W25" s="19"/>
      <c r="X25" s="19"/>
      <c r="Y25" s="19"/>
      <c r="Z25" s="19"/>
      <c r="AA25" s="19"/>
      <c r="AB25" s="22"/>
      <c r="AC25" s="22"/>
      <c r="AF25" s="19">
        <f>(L25/40.31)/((L25/40.31)+(J25-(J25*0.15))*0.8998/71.85)</f>
        <v>0.75662211765517118</v>
      </c>
      <c r="AG25" s="20">
        <f>H25*5995</f>
        <v>7194</v>
      </c>
      <c r="AH25" s="20">
        <f>O25*8302</f>
        <v>60853.66</v>
      </c>
      <c r="AI25" s="20">
        <f>P25*4364</f>
        <v>5062.24</v>
      </c>
      <c r="AJ25" s="19">
        <f t="shared" si="47"/>
        <v>7.78</v>
      </c>
      <c r="AK25" s="19">
        <f t="shared" si="48"/>
        <v>16.288888888888888</v>
      </c>
      <c r="AL25" s="19">
        <f t="shared" si="49"/>
        <v>6.1391541609822645E-2</v>
      </c>
      <c r="AM25" s="19">
        <f>EK25/EG25</f>
        <v>2.1059147180192572</v>
      </c>
      <c r="AN25" s="19">
        <f>O25/I25</f>
        <v>1.0082530949105915</v>
      </c>
      <c r="AO25" s="19">
        <f>(EL25/61.98+EM25/94.2)/(EG25/101.96)</f>
        <v>1.1931363416504881</v>
      </c>
      <c r="AP25" s="19">
        <f>1/AO25</f>
        <v>0.83812718219334514</v>
      </c>
      <c r="AQ25" s="19">
        <f>(EG25/101.96)/((EK25/56.08)+(EL25/61.98)+(EM25/94.2))</f>
        <v>0.1991264069660203</v>
      </c>
      <c r="AR25" s="20">
        <f>1000*(4*(EE25/60.08)-11*(EL25/61.98*2+EM25/94.2*2)-2*(EH25/159.69*2+EF25/79.87))</f>
        <v>864.77903822347923</v>
      </c>
      <c r="AS25" s="20">
        <f>1000*(6*(EK25/56.08)+2*(EJ25/40.3)+EG25/101.96*2)</f>
        <v>2419.1456082594145</v>
      </c>
      <c r="AT25" s="20"/>
      <c r="AU25" s="19">
        <f t="shared" si="50"/>
        <v>0.16651522035438435</v>
      </c>
      <c r="AV25" s="19">
        <f>(O25/94.2)/(I25/101.96)</f>
        <v>1.0913108870178758</v>
      </c>
      <c r="AX25" s="20"/>
      <c r="AY25" s="20"/>
      <c r="AZ25" s="20"/>
      <c r="BA25" s="22"/>
      <c r="BB25" s="22"/>
      <c r="BC25" s="22"/>
      <c r="BD25" s="22"/>
      <c r="BE25" s="22"/>
      <c r="BF25" s="22"/>
      <c r="BG25" s="22"/>
      <c r="BH25" s="22"/>
      <c r="BJ25" s="20"/>
      <c r="BK25" s="20"/>
      <c r="BL25" s="22"/>
      <c r="BM25" s="22"/>
      <c r="BN25" s="20"/>
      <c r="BO25" s="20"/>
      <c r="BP25" s="20"/>
      <c r="BQ25" s="22"/>
      <c r="BR25" s="22"/>
      <c r="BS25" s="22"/>
      <c r="BT25" s="22"/>
      <c r="BU25" s="22"/>
      <c r="BV25" s="22"/>
      <c r="BW25" s="19"/>
      <c r="BX25" s="19"/>
      <c r="BY25" s="19"/>
      <c r="BZ25" s="22"/>
      <c r="CA25" s="19"/>
      <c r="CB25" s="20"/>
      <c r="CC25" s="20"/>
      <c r="CD25" s="22"/>
      <c r="CE25" s="22"/>
      <c r="CG25" s="22"/>
      <c r="CH25" s="22"/>
      <c r="CI25" s="22"/>
      <c r="CJ25" s="22"/>
      <c r="CK25" s="22"/>
      <c r="CL25" s="22"/>
      <c r="CM25" s="22"/>
      <c r="CN25" s="22"/>
      <c r="CO25" s="22"/>
      <c r="CP25" s="22"/>
      <c r="CQ25" s="22"/>
      <c r="CR25" s="22"/>
      <c r="CS25" s="22"/>
      <c r="CT25" s="22"/>
      <c r="CU25" s="22"/>
      <c r="CV25" s="22"/>
      <c r="CW25" s="22"/>
      <c r="CX25" s="20"/>
      <c r="CY25" s="22"/>
      <c r="CZ25" s="22"/>
      <c r="DA25" s="22"/>
      <c r="DB25" s="22"/>
      <c r="DC25" s="22"/>
      <c r="DD25" s="22"/>
      <c r="DE25" s="22"/>
      <c r="DF25" s="22"/>
      <c r="DG25" s="19"/>
      <c r="DH25" s="20"/>
      <c r="DI25" s="19"/>
      <c r="DJ25" s="22"/>
      <c r="DK25" s="22"/>
      <c r="DL25" s="22"/>
      <c r="DM25" s="22"/>
      <c r="DN25" s="19"/>
      <c r="DO25" s="22"/>
      <c r="DP25" s="20"/>
      <c r="DQ25" s="22"/>
      <c r="DR25" s="22"/>
      <c r="DS25" s="19"/>
      <c r="DT25" s="23"/>
      <c r="DU25" s="22"/>
      <c r="DV25" s="22"/>
      <c r="DW25" s="22"/>
      <c r="DX25" s="22"/>
      <c r="DY25" s="22"/>
      <c r="DZ25" s="19"/>
      <c r="EA25" s="23"/>
      <c r="EB25" s="19"/>
      <c r="EC25" s="19"/>
      <c r="ED25" s="19"/>
      <c r="EE25" s="19">
        <f t="shared" si="52"/>
        <v>46.017817530258647</v>
      </c>
      <c r="EF25" s="19">
        <f t="shared" si="52"/>
        <v>1.2544611775627073</v>
      </c>
      <c r="EG25" s="19">
        <f t="shared" si="52"/>
        <v>7.5999439674007352</v>
      </c>
      <c r="EH25" s="19">
        <f t="shared" si="52"/>
        <v>8.4243340379223604</v>
      </c>
      <c r="EI25" s="19">
        <f t="shared" si="52"/>
        <v>0.11499227460991483</v>
      </c>
      <c r="EJ25" s="19">
        <f t="shared" si="52"/>
        <v>11.237881382332587</v>
      </c>
      <c r="EK25" s="19">
        <f t="shared" si="52"/>
        <v>16.004833857070874</v>
      </c>
      <c r="EL25" s="19">
        <f t="shared" si="52"/>
        <v>0.47042294158601522</v>
      </c>
      <c r="EM25" s="19">
        <f t="shared" si="52"/>
        <v>7.6626670262788705</v>
      </c>
      <c r="EN25" s="19">
        <f t="shared" si="52"/>
        <v>1.2126458049772835</v>
      </c>
      <c r="EO25" s="19">
        <f>SUM(EE25:EN25)</f>
        <v>100</v>
      </c>
    </row>
    <row r="26" spans="1:145" s="36" customFormat="1">
      <c r="A26" s="36" t="s">
        <v>225</v>
      </c>
      <c r="B26" s="1">
        <v>6</v>
      </c>
      <c r="D26" s="36" t="s">
        <v>190</v>
      </c>
      <c r="E26" s="36" t="s">
        <v>224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U26" s="75"/>
      <c r="V26" s="75"/>
      <c r="W26" s="19">
        <v>18.75</v>
      </c>
      <c r="X26" s="19">
        <v>15.676</v>
      </c>
      <c r="Y26" s="19">
        <v>38.963000000000001</v>
      </c>
      <c r="Z26" s="19"/>
      <c r="AA26" s="19"/>
      <c r="AB26" s="22"/>
      <c r="AC26" s="22"/>
      <c r="AF26" s="19"/>
      <c r="AG26" s="20"/>
      <c r="AH26" s="20"/>
      <c r="AI26" s="20"/>
      <c r="AJ26" s="19"/>
      <c r="AK26" s="19"/>
      <c r="AL26" s="19"/>
      <c r="AM26" s="19"/>
      <c r="AN26" s="19"/>
      <c r="AO26" s="19"/>
      <c r="AP26" s="19"/>
      <c r="AQ26" s="19"/>
      <c r="AR26" s="20"/>
      <c r="AS26" s="20"/>
      <c r="AT26" s="20"/>
      <c r="AU26" s="19"/>
      <c r="AV26" s="19"/>
      <c r="AX26" s="20"/>
      <c r="AY26" s="20"/>
      <c r="AZ26" s="20"/>
      <c r="BA26" s="22"/>
      <c r="BB26" s="22"/>
      <c r="BC26" s="22"/>
      <c r="BD26" s="22"/>
      <c r="BE26" s="22"/>
      <c r="BF26" s="22"/>
      <c r="BG26" s="22"/>
      <c r="BH26" s="22"/>
      <c r="BJ26" s="20"/>
      <c r="BK26" s="20"/>
      <c r="BL26" s="22"/>
      <c r="BM26" s="22"/>
      <c r="BN26" s="20"/>
      <c r="BO26" s="20"/>
      <c r="BP26" s="20"/>
      <c r="BQ26" s="22"/>
      <c r="BR26" s="22"/>
      <c r="BS26" s="22"/>
      <c r="BT26" s="22"/>
      <c r="BU26" s="22"/>
      <c r="BV26" s="22"/>
      <c r="BW26" s="19"/>
      <c r="BX26" s="19"/>
      <c r="BY26" s="19"/>
      <c r="BZ26" s="22"/>
      <c r="CA26" s="19"/>
      <c r="CB26" s="20"/>
      <c r="CC26" s="20"/>
      <c r="CD26" s="22"/>
      <c r="CE26" s="22"/>
      <c r="CG26" s="22"/>
      <c r="CH26" s="22"/>
      <c r="CI26" s="22"/>
      <c r="CJ26" s="22"/>
      <c r="CK26" s="22"/>
      <c r="CL26" s="22"/>
      <c r="CM26" s="22"/>
      <c r="CN26" s="22"/>
      <c r="CO26" s="22"/>
      <c r="CP26" s="22"/>
      <c r="CQ26" s="22"/>
      <c r="CR26" s="22"/>
      <c r="CS26" s="22"/>
      <c r="CT26" s="22"/>
      <c r="CU26" s="22"/>
      <c r="CV26" s="22"/>
      <c r="CW26" s="22"/>
      <c r="CX26" s="20"/>
      <c r="CY26" s="22"/>
      <c r="CZ26" s="22"/>
      <c r="DA26" s="22"/>
      <c r="DB26" s="22"/>
      <c r="DC26" s="22"/>
      <c r="DD26" s="22"/>
      <c r="DE26" s="22"/>
      <c r="DF26" s="22"/>
      <c r="DG26" s="19"/>
      <c r="DH26" s="20"/>
      <c r="DI26" s="19"/>
      <c r="DJ26" s="22"/>
      <c r="DK26" s="22"/>
      <c r="DL26" s="22"/>
      <c r="DM26" s="22"/>
      <c r="DN26" s="19"/>
      <c r="DO26" s="22"/>
      <c r="DP26" s="20"/>
      <c r="DQ26" s="22"/>
      <c r="DR26" s="22"/>
      <c r="DS26" s="19"/>
      <c r="DT26" s="23"/>
      <c r="DU26" s="22"/>
      <c r="DV26" s="22"/>
      <c r="DW26" s="22"/>
      <c r="DX26" s="22"/>
      <c r="DY26" s="22"/>
      <c r="DZ26" s="19"/>
      <c r="EA26" s="23"/>
      <c r="EB26" s="19"/>
      <c r="EC26" s="19"/>
      <c r="ED26" s="19"/>
      <c r="EE26" s="19"/>
      <c r="EF26" s="19"/>
      <c r="EG26" s="19"/>
      <c r="EH26" s="19"/>
      <c r="EI26" s="19"/>
      <c r="EJ26" s="19"/>
      <c r="EK26" s="19"/>
      <c r="EL26" s="19"/>
      <c r="EM26" s="19"/>
      <c r="EN26" s="19"/>
      <c r="EO26" s="19"/>
    </row>
    <row r="27" spans="1:145" s="36" customFormat="1">
      <c r="A27" s="36" t="s">
        <v>225</v>
      </c>
      <c r="B27" s="1">
        <v>6</v>
      </c>
      <c r="D27" s="36" t="s">
        <v>190</v>
      </c>
      <c r="E27" s="36" t="s">
        <v>224</v>
      </c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U27" s="75"/>
      <c r="V27" s="75"/>
      <c r="W27" s="19">
        <v>18.754999999999999</v>
      </c>
      <c r="X27" s="19">
        <v>15.68</v>
      </c>
      <c r="Y27" s="19">
        <v>38.972000000000001</v>
      </c>
      <c r="Z27" s="19"/>
      <c r="AA27" s="19"/>
      <c r="AB27" s="22"/>
      <c r="AC27" s="22"/>
      <c r="AF27" s="19"/>
      <c r="AG27" s="20"/>
      <c r="AH27" s="20"/>
      <c r="AI27" s="20"/>
      <c r="AJ27" s="19"/>
      <c r="AK27" s="19"/>
      <c r="AL27" s="19"/>
      <c r="AM27" s="19"/>
      <c r="AN27" s="19"/>
      <c r="AO27" s="19"/>
      <c r="AP27" s="19"/>
      <c r="AQ27" s="19"/>
      <c r="AR27" s="20"/>
      <c r="AS27" s="20"/>
      <c r="AT27" s="20"/>
      <c r="AU27" s="19"/>
      <c r="AV27" s="19"/>
      <c r="AX27" s="20"/>
      <c r="AY27" s="20"/>
      <c r="AZ27" s="20"/>
      <c r="BA27" s="22"/>
      <c r="BB27" s="22"/>
      <c r="BC27" s="22"/>
      <c r="BD27" s="22"/>
      <c r="BE27" s="22"/>
      <c r="BF27" s="22"/>
      <c r="BG27" s="22"/>
      <c r="BH27" s="22"/>
      <c r="BJ27" s="20"/>
      <c r="BK27" s="20"/>
      <c r="BL27" s="22"/>
      <c r="BM27" s="22"/>
      <c r="BN27" s="20"/>
      <c r="BO27" s="20"/>
      <c r="BP27" s="20"/>
      <c r="BQ27" s="22"/>
      <c r="BR27" s="22"/>
      <c r="BS27" s="22"/>
      <c r="BT27" s="22"/>
      <c r="BU27" s="22"/>
      <c r="BV27" s="22"/>
      <c r="BW27" s="19"/>
      <c r="BX27" s="19"/>
      <c r="BY27" s="19"/>
      <c r="BZ27" s="22"/>
      <c r="CA27" s="19"/>
      <c r="CB27" s="20"/>
      <c r="CC27" s="20"/>
      <c r="CD27" s="22"/>
      <c r="CE27" s="22"/>
      <c r="CG27" s="22"/>
      <c r="CH27" s="22"/>
      <c r="CI27" s="22"/>
      <c r="CJ27" s="22"/>
      <c r="CK27" s="22"/>
      <c r="CL27" s="22"/>
      <c r="CM27" s="22"/>
      <c r="CN27" s="22"/>
      <c r="CO27" s="22"/>
      <c r="CP27" s="22"/>
      <c r="CQ27" s="22"/>
      <c r="CR27" s="22"/>
      <c r="CS27" s="22"/>
      <c r="CT27" s="22"/>
      <c r="CU27" s="22"/>
      <c r="CV27" s="22"/>
      <c r="CW27" s="22"/>
      <c r="CX27" s="20"/>
      <c r="CY27" s="22"/>
      <c r="CZ27" s="22"/>
      <c r="DA27" s="22"/>
      <c r="DB27" s="22"/>
      <c r="DC27" s="22"/>
      <c r="DD27" s="22"/>
      <c r="DE27" s="22"/>
      <c r="DF27" s="22"/>
      <c r="DG27" s="19"/>
      <c r="DH27" s="20"/>
      <c r="DI27" s="19"/>
      <c r="DJ27" s="22"/>
      <c r="DK27" s="22"/>
      <c r="DL27" s="22"/>
      <c r="DM27" s="22"/>
      <c r="DN27" s="19"/>
      <c r="DO27" s="22"/>
      <c r="DP27" s="20"/>
      <c r="DQ27" s="22"/>
      <c r="DR27" s="22"/>
      <c r="DS27" s="19"/>
      <c r="DT27" s="23"/>
      <c r="DU27" s="22"/>
      <c r="DV27" s="22"/>
      <c r="DW27" s="22"/>
      <c r="DX27" s="22"/>
      <c r="DY27" s="22"/>
      <c r="DZ27" s="19"/>
      <c r="EA27" s="23"/>
      <c r="EB27" s="19"/>
      <c r="EC27" s="19"/>
      <c r="ED27" s="19"/>
      <c r="EE27" s="19"/>
      <c r="EF27" s="19"/>
      <c r="EG27" s="19"/>
      <c r="EH27" s="19"/>
      <c r="EI27" s="19"/>
      <c r="EJ27" s="19"/>
      <c r="EK27" s="19"/>
      <c r="EL27" s="19"/>
      <c r="EM27" s="19"/>
      <c r="EN27" s="19"/>
      <c r="EO27" s="19"/>
    </row>
    <row r="28" spans="1:145">
      <c r="A28" s="1" t="s">
        <v>158</v>
      </c>
      <c r="B28" s="1">
        <v>6</v>
      </c>
      <c r="C28" s="78"/>
      <c r="D28" s="78" t="s">
        <v>223</v>
      </c>
      <c r="E28" s="88" t="s">
        <v>156</v>
      </c>
      <c r="F28" s="1"/>
      <c r="G28" s="79">
        <v>42.98</v>
      </c>
      <c r="H28" s="79">
        <v>1.1180000000000001</v>
      </c>
      <c r="I28" s="79">
        <v>6.74</v>
      </c>
      <c r="J28" s="79">
        <v>6.95</v>
      </c>
      <c r="K28" s="79">
        <v>0.112</v>
      </c>
      <c r="L28" s="79">
        <v>10.07</v>
      </c>
      <c r="M28" s="79">
        <v>16.149999999999999</v>
      </c>
      <c r="N28" s="79">
        <v>0.22</v>
      </c>
      <c r="O28" s="79">
        <v>6.41</v>
      </c>
      <c r="P28" s="79">
        <v>1.24</v>
      </c>
      <c r="Q28" s="79">
        <v>5.57</v>
      </c>
      <c r="R28" s="79">
        <v>0.16</v>
      </c>
      <c r="S28" s="79">
        <f>SUM(G28:R28)</f>
        <v>97.72</v>
      </c>
      <c r="T28" s="80"/>
      <c r="U28" s="86"/>
      <c r="V28" s="86"/>
      <c r="W28" s="79"/>
      <c r="X28" s="79"/>
      <c r="Y28" s="79"/>
      <c r="Z28" s="79"/>
      <c r="AA28" s="79"/>
      <c r="AB28" s="79"/>
      <c r="AC28" s="79"/>
      <c r="AD28" s="79"/>
      <c r="AE28" s="19"/>
      <c r="AF28" s="19">
        <f>(L28/40.31)/((L28/40.31)+(J28-(J28*0.1189))*0.8998/71.85)</f>
        <v>0.76512162789198757</v>
      </c>
      <c r="AG28" s="20">
        <f>H28*5995</f>
        <v>6702.4100000000008</v>
      </c>
      <c r="AH28" s="20">
        <f>O28*8302</f>
        <v>53215.82</v>
      </c>
      <c r="AI28" s="20">
        <f>P28*4364</f>
        <v>5411.36</v>
      </c>
      <c r="AJ28" s="19">
        <f t="shared" ref="AJ28:AJ33" si="53">N28+O28</f>
        <v>6.63</v>
      </c>
      <c r="AK28" s="19">
        <f t="shared" ref="AK28:AK33" si="54">O28/N28</f>
        <v>29.136363636363637</v>
      </c>
      <c r="AL28" s="19">
        <f t="shared" ref="AL28:AL33" si="55">N28/O28</f>
        <v>3.4321372854914198E-2</v>
      </c>
      <c r="AM28" s="19">
        <f>EK28/EG28</f>
        <v>2.3961424332344214</v>
      </c>
      <c r="AN28" s="19">
        <f>O28/I28</f>
        <v>0.95103857566765582</v>
      </c>
      <c r="AO28" s="19">
        <f>(EL28/61.98+EM28/94.2)/(EG28/101.96)</f>
        <v>1.0830790439893354</v>
      </c>
      <c r="AP28" s="19">
        <f>1/AO28</f>
        <v>0.92329364652525447</v>
      </c>
      <c r="AQ28" s="19">
        <f>(EG28/101.96)/((EK28/56.08)+(EL28/61.98)+(EM28/94.2))</f>
        <v>0.18383886244595213</v>
      </c>
      <c r="AR28" s="20">
        <f>1000*(4*(EE28/60.08)-11*(EL28/61.98+EM28/94.2)-2*(EH28/159.69+EF28/79.87))</f>
        <v>2129.4925347180083</v>
      </c>
      <c r="AS28" s="20">
        <f>1000*(6*(EK28/56.08)+2*(EJ28/40.3)+EG28/101.96)</f>
        <v>2493.4720579152404</v>
      </c>
      <c r="AT28" s="20"/>
      <c r="AU28" s="19">
        <f>O28/G28</f>
        <v>0.14913913448115404</v>
      </c>
      <c r="AV28" s="19">
        <f>(O28/94.2)/(I28/101.96)</f>
        <v>1.0293831547247789</v>
      </c>
      <c r="AW28" s="80"/>
      <c r="AX28" s="80">
        <v>482</v>
      </c>
      <c r="AY28" s="80">
        <v>3653</v>
      </c>
      <c r="AZ28" s="80">
        <v>4346</v>
      </c>
      <c r="BA28" s="80">
        <v>64.900000000000006</v>
      </c>
      <c r="BB28" s="80">
        <v>16</v>
      </c>
      <c r="BC28" s="80">
        <v>55</v>
      </c>
      <c r="BD28" s="80">
        <v>60</v>
      </c>
      <c r="BE28" s="80">
        <v>31</v>
      </c>
      <c r="BF28" s="80">
        <v>100</v>
      </c>
      <c r="BG28" s="80">
        <v>40</v>
      </c>
      <c r="BH28" s="80">
        <v>140</v>
      </c>
      <c r="BI28" s="80">
        <v>47</v>
      </c>
      <c r="BJ28" s="80">
        <v>745</v>
      </c>
      <c r="BK28" s="80">
        <v>46</v>
      </c>
      <c r="BL28" s="80">
        <v>20.9</v>
      </c>
      <c r="BM28" s="89">
        <v>3</v>
      </c>
      <c r="BN28" s="80">
        <v>268</v>
      </c>
      <c r="BO28" s="80">
        <v>539</v>
      </c>
      <c r="BP28" s="80">
        <v>61.4</v>
      </c>
      <c r="BQ28" s="80">
        <v>225</v>
      </c>
      <c r="BR28" s="80">
        <v>39.200000000000003</v>
      </c>
      <c r="BS28" s="80">
        <v>7.19</v>
      </c>
      <c r="BT28" s="80">
        <v>26.4</v>
      </c>
      <c r="BU28" s="80">
        <v>2.8</v>
      </c>
      <c r="BV28" s="80">
        <v>12.6</v>
      </c>
      <c r="BW28" s="80">
        <v>1.7</v>
      </c>
      <c r="BX28" s="80">
        <v>3.8</v>
      </c>
      <c r="BY28" s="80">
        <v>0.44</v>
      </c>
      <c r="BZ28" s="80">
        <v>2.5</v>
      </c>
      <c r="CA28" s="80">
        <v>0.35</v>
      </c>
      <c r="CB28" s="80">
        <v>149</v>
      </c>
      <c r="CC28" s="80">
        <v>123</v>
      </c>
      <c r="CD28" s="80">
        <v>26.7</v>
      </c>
      <c r="CE28" s="80">
        <v>18</v>
      </c>
      <c r="CF28" s="85"/>
      <c r="CG28" s="22">
        <f>BN28/0.242</f>
        <v>1107.4380165289256</v>
      </c>
      <c r="CH28" s="22">
        <f t="shared" ref="CH28:CH33" si="56">BO28/0.635</f>
        <v>848.81889763779532</v>
      </c>
      <c r="CI28" s="22">
        <f>BP28/0.0963</f>
        <v>637.59086188992728</v>
      </c>
      <c r="CJ28" s="22">
        <f>BQ28/0.48</f>
        <v>468.75</v>
      </c>
      <c r="CK28" s="22">
        <f>BR28/0.156</f>
        <v>251.2820512820513</v>
      </c>
      <c r="CL28" s="22">
        <f>BS28/0.0591</f>
        <v>121.65820642978004</v>
      </c>
      <c r="CM28" s="22">
        <f>BT28/0.212</f>
        <v>124.52830188679245</v>
      </c>
      <c r="CN28" s="22">
        <f>BU28/0.0376</f>
        <v>74.468085106382972</v>
      </c>
      <c r="CO28" s="22">
        <f>BV28/0.259</f>
        <v>48.648648648648646</v>
      </c>
      <c r="CP28" s="22">
        <f>BW28/0.0585</f>
        <v>29.059829059829056</v>
      </c>
      <c r="CQ28" s="22">
        <f>BX28/0.163</f>
        <v>23.312883435582819</v>
      </c>
      <c r="CR28" s="22">
        <f>BY28/0.0256</f>
        <v>17.1875</v>
      </c>
      <c r="CS28" s="22">
        <f>BZ28/0.166</f>
        <v>15.060240963855421</v>
      </c>
      <c r="CT28" s="22">
        <f>CA28/0.024</f>
        <v>14.583333333333332</v>
      </c>
      <c r="CU28" s="22">
        <f>AZ28/BK28</f>
        <v>94.478260869565219</v>
      </c>
      <c r="CV28" s="22">
        <f>AZ28/BN28</f>
        <v>16.21641791044776</v>
      </c>
      <c r="CW28" s="22">
        <f>BN28/BK28</f>
        <v>5.8260869565217392</v>
      </c>
      <c r="CX28" s="20">
        <f>AG28/BK28</f>
        <v>145.70456521739132</v>
      </c>
      <c r="CY28" s="22">
        <f>BO28/CB28</f>
        <v>3.6174496644295302</v>
      </c>
      <c r="CZ28" s="22">
        <f>BK28/CD28</f>
        <v>1.7228464419475655</v>
      </c>
      <c r="DA28" s="22">
        <f>AX28/BR28</f>
        <v>12.295918367346937</v>
      </c>
      <c r="DB28" s="22">
        <f>BJ28/BK28</f>
        <v>16.195652173913043</v>
      </c>
      <c r="DC28" s="22">
        <f>AZ28/CC28</f>
        <v>35.333333333333336</v>
      </c>
      <c r="DD28" s="22">
        <f>CC28/BM28</f>
        <v>41</v>
      </c>
      <c r="DE28" s="22">
        <f>BM28/BZ28</f>
        <v>1.2</v>
      </c>
      <c r="DF28" s="22">
        <f>CC28/BZ28</f>
        <v>49.2</v>
      </c>
      <c r="DG28" s="19">
        <f>BK28/BI28</f>
        <v>0.97872340425531912</v>
      </c>
      <c r="DH28" s="20">
        <f>AH28/BN28</f>
        <v>198.56649253731342</v>
      </c>
      <c r="DI28" s="19">
        <f>(BK28/0.46)/((O28/0.023)*(CD28/0.017))^0.5</f>
        <v>0.15114846229628304</v>
      </c>
      <c r="DJ28" s="22">
        <f>BN28/CA28</f>
        <v>765.71428571428578</v>
      </c>
      <c r="DK28" s="22">
        <f>CG28/CT28</f>
        <v>75.938606847697756</v>
      </c>
      <c r="DL28" s="22">
        <f>CG28/CK28</f>
        <v>4.4071512902681729</v>
      </c>
      <c r="DM28" s="22">
        <f>BN28/BZ28</f>
        <v>107.2</v>
      </c>
      <c r="DN28" s="76">
        <f>BL28/BQ28</f>
        <v>9.2888888888888882E-2</v>
      </c>
      <c r="DO28" s="22">
        <f>BR28/BZ28</f>
        <v>15.680000000000001</v>
      </c>
      <c r="DP28" s="20">
        <f>AY28/BZ28</f>
        <v>1461.2</v>
      </c>
      <c r="DQ28" s="22">
        <f>AY28/BQ28</f>
        <v>16.235555555555557</v>
      </c>
      <c r="DR28" s="22">
        <f>AY28/(((BR28/0.195)*(BT28/0.259))^0.5)</f>
        <v>25.519482485010542</v>
      </c>
      <c r="DS28" s="19">
        <f>(BS28/0.074)/(((BR28/0.195)*(BT28/0.259))^0.5)</f>
        <v>0.67876487695128707</v>
      </c>
      <c r="DT28" s="23">
        <f>1/AY28</f>
        <v>2.7374760470845878E-4</v>
      </c>
      <c r="DU28" s="22">
        <f>BJ28/BI28</f>
        <v>15.851063829787234</v>
      </c>
      <c r="DV28" s="22">
        <f>BK28/BM28</f>
        <v>15.333333333333334</v>
      </c>
      <c r="DW28" s="22">
        <f>1.74+LOG(BK28/BI28)-1.92*LOG(BJ28/BI28)</f>
        <v>-0.57345218269428822</v>
      </c>
      <c r="DX28" s="22">
        <f>BK28*100/BJ28</f>
        <v>6.174496644295302</v>
      </c>
      <c r="DY28" s="22">
        <f>CC28*100/BJ28</f>
        <v>16.51006711409396</v>
      </c>
      <c r="DZ28" s="19">
        <f>EK28*100/AY28</f>
        <v>0.48059830590733882</v>
      </c>
      <c r="EA28" s="23">
        <f>BA28/BN28</f>
        <v>0.24216417910447763</v>
      </c>
      <c r="EB28" s="19">
        <f>CC28/BK28</f>
        <v>2.6739130434782608</v>
      </c>
      <c r="EC28" s="19">
        <f>(CB28/0.144)/(CH28*CI28)^(1/2)</f>
        <v>1.4065177406325691</v>
      </c>
      <c r="ED28" s="19"/>
      <c r="EE28" s="19">
        <f t="shared" ref="EE28:EN29" si="57">100*G28/($G28+$H28+$I28+$J28+$K28+$L28+$M28+$N28+$O28+$P28)</f>
        <v>46.722469833677579</v>
      </c>
      <c r="EF28" s="19">
        <f t="shared" si="57"/>
        <v>1.215349494510273</v>
      </c>
      <c r="EG28" s="19">
        <f t="shared" si="57"/>
        <v>7.3268833568866185</v>
      </c>
      <c r="EH28" s="19">
        <f t="shared" si="57"/>
        <v>7.5551690401130562</v>
      </c>
      <c r="EI28" s="19">
        <f t="shared" si="57"/>
        <v>0.12175236438743343</v>
      </c>
      <c r="EJ28" s="19">
        <f t="shared" si="57"/>
        <v>10.946842048048701</v>
      </c>
      <c r="EK28" s="19">
        <f t="shared" si="57"/>
        <v>17.556256114795087</v>
      </c>
      <c r="EL28" s="19">
        <f t="shared" si="57"/>
        <v>0.23915643004674422</v>
      </c>
      <c r="EM28" s="19">
        <f t="shared" si="57"/>
        <v>6.968148711816502</v>
      </c>
      <c r="EN28" s="19">
        <f t="shared" si="57"/>
        <v>1.3479726057180128</v>
      </c>
      <c r="EO28" s="19">
        <f>SUM(EE28:EN28)</f>
        <v>100</v>
      </c>
    </row>
    <row r="29" spans="1:145">
      <c r="A29" s="1" t="s">
        <v>158</v>
      </c>
      <c r="B29" s="1">
        <v>6</v>
      </c>
      <c r="C29" s="78"/>
      <c r="D29" s="78" t="s">
        <v>223</v>
      </c>
      <c r="E29" s="88" t="s">
        <v>156</v>
      </c>
      <c r="F29" s="1"/>
      <c r="G29" s="79">
        <v>42.6</v>
      </c>
      <c r="H29" s="79">
        <v>1.1060000000000001</v>
      </c>
      <c r="I29" s="79">
        <v>6.71</v>
      </c>
      <c r="J29" s="79">
        <v>6.96</v>
      </c>
      <c r="K29" s="79">
        <v>0.11</v>
      </c>
      <c r="L29" s="79">
        <v>10.18</v>
      </c>
      <c r="M29" s="79">
        <v>15.2</v>
      </c>
      <c r="N29" s="79">
        <v>0.23</v>
      </c>
      <c r="O29" s="79">
        <v>7.79</v>
      </c>
      <c r="P29" s="79">
        <v>1.2</v>
      </c>
      <c r="Q29" s="79">
        <v>5.77</v>
      </c>
      <c r="R29" s="79">
        <v>0.09</v>
      </c>
      <c r="S29" s="79">
        <f>SUM(G29:R29)</f>
        <v>97.946000000000012</v>
      </c>
      <c r="T29" s="80"/>
      <c r="U29" s="86"/>
      <c r="V29" s="86"/>
      <c r="W29" s="79"/>
      <c r="X29" s="79"/>
      <c r="Y29" s="79"/>
      <c r="Z29" s="79"/>
      <c r="AA29" s="79"/>
      <c r="AB29" s="79"/>
      <c r="AC29" s="79"/>
      <c r="AD29" s="79"/>
      <c r="AE29" s="19"/>
      <c r="AF29" s="19">
        <f>(L29/40.31)/((L29/40.31)+(J29-(J29*0.1189))*0.8998/71.85)</f>
        <v>0.7668114316532646</v>
      </c>
      <c r="AG29" s="20">
        <f>H29*5995</f>
        <v>6630.47</v>
      </c>
      <c r="AH29" s="20">
        <f>O29*8302</f>
        <v>64672.58</v>
      </c>
      <c r="AI29" s="20">
        <f>P29*4364</f>
        <v>5236.8</v>
      </c>
      <c r="AJ29" s="19">
        <f t="shared" si="53"/>
        <v>8.02</v>
      </c>
      <c r="AK29" s="19">
        <f t="shared" si="54"/>
        <v>33.869565217391305</v>
      </c>
      <c r="AL29" s="19">
        <f t="shared" si="55"/>
        <v>2.9525032092426188E-2</v>
      </c>
      <c r="AM29" s="19">
        <f>EK29/EG29</f>
        <v>2.2652757078986587</v>
      </c>
      <c r="AN29" s="19">
        <f>O29/I29</f>
        <v>1.1609538002980626</v>
      </c>
      <c r="AO29" s="19">
        <f>(EL29/61.98+EM29/94.2)/(EG29/101.96)</f>
        <v>1.312978353657736</v>
      </c>
      <c r="AP29" s="19">
        <f>1/AO29</f>
        <v>0.7616271793165279</v>
      </c>
      <c r="AQ29" s="19">
        <f>(EG29/101.96)/((EK29/56.08)+(EL29/61.98)+(EM29/94.2))</f>
        <v>0.18411070919003747</v>
      </c>
      <c r="AR29" s="20">
        <f>1000*(4*(EE29/60.08)-11*(EL29/61.98+EM29/94.2)-2*(EH29/159.69+EF29/79.87))</f>
        <v>1923.0660088628545</v>
      </c>
      <c r="AS29" s="20">
        <f>1000*(6*(EK29/56.08)+2*(EJ29/40.3)+EG29/101.96)</f>
        <v>2386.1056583667</v>
      </c>
      <c r="AT29" s="20"/>
      <c r="AU29" s="19">
        <f>O29/G29</f>
        <v>0.18286384976525821</v>
      </c>
      <c r="AV29" s="19">
        <f>(O29/94.2)/(I29/101.96)</f>
        <v>1.2565907587939538</v>
      </c>
      <c r="AW29" s="80"/>
      <c r="AX29" s="90">
        <v>577</v>
      </c>
      <c r="AY29" s="90">
        <v>4007</v>
      </c>
      <c r="AZ29" s="90">
        <v>3693</v>
      </c>
      <c r="BA29" s="90">
        <v>89.8</v>
      </c>
      <c r="BB29" s="90">
        <v>16</v>
      </c>
      <c r="BC29" s="90">
        <v>53</v>
      </c>
      <c r="BD29" s="90">
        <v>90</v>
      </c>
      <c r="BE29" s="90">
        <v>34</v>
      </c>
      <c r="BF29" s="90">
        <v>90</v>
      </c>
      <c r="BG29" s="90">
        <v>40</v>
      </c>
      <c r="BH29" s="90">
        <v>130</v>
      </c>
      <c r="BI29" s="90">
        <v>45</v>
      </c>
      <c r="BJ29" s="90">
        <v>657</v>
      </c>
      <c r="BK29" s="90">
        <v>49</v>
      </c>
      <c r="BL29" s="90">
        <v>21.7</v>
      </c>
      <c r="BM29" s="90">
        <v>3.1</v>
      </c>
      <c r="BN29" s="90">
        <v>279</v>
      </c>
      <c r="BO29" s="90">
        <v>564</v>
      </c>
      <c r="BP29" s="90">
        <v>63.8</v>
      </c>
      <c r="BQ29" s="90">
        <v>235</v>
      </c>
      <c r="BR29" s="90">
        <v>41</v>
      </c>
      <c r="BS29" s="90">
        <v>7.64</v>
      </c>
      <c r="BT29" s="90">
        <v>27.1</v>
      </c>
      <c r="BU29" s="90">
        <v>2.9</v>
      </c>
      <c r="BV29" s="90">
        <v>12.7</v>
      </c>
      <c r="BW29" s="90">
        <v>1.8</v>
      </c>
      <c r="BX29" s="90">
        <v>3.9</v>
      </c>
      <c r="BY29" s="90">
        <v>0.47</v>
      </c>
      <c r="BZ29" s="90">
        <v>2.5</v>
      </c>
      <c r="CA29" s="90">
        <v>0.36</v>
      </c>
      <c r="CB29" s="90">
        <v>149</v>
      </c>
      <c r="CC29" s="90">
        <v>127</v>
      </c>
      <c r="CD29" s="90">
        <v>27.7</v>
      </c>
      <c r="CE29" s="90">
        <v>20</v>
      </c>
      <c r="CF29" s="85"/>
      <c r="CG29" s="22">
        <f>BN29/0.242</f>
        <v>1152.8925619834711</v>
      </c>
      <c r="CH29" s="22">
        <f t="shared" si="56"/>
        <v>888.18897637795271</v>
      </c>
      <c r="CI29" s="22">
        <f>BP29/0.0963</f>
        <v>662.51298026998961</v>
      </c>
      <c r="CJ29" s="22">
        <f>BQ29/0.48</f>
        <v>489.58333333333337</v>
      </c>
      <c r="CK29" s="22">
        <f>BR29/0.156</f>
        <v>262.82051282051282</v>
      </c>
      <c r="CL29" s="22">
        <f>BS29/0.0591</f>
        <v>129.27241962774957</v>
      </c>
      <c r="CM29" s="22">
        <f>BT29/0.212</f>
        <v>127.8301886792453</v>
      </c>
      <c r="CN29" s="22">
        <f>BU29/0.0376</f>
        <v>77.127659574468083</v>
      </c>
      <c r="CO29" s="22">
        <f>BV29/0.259</f>
        <v>49.034749034749034</v>
      </c>
      <c r="CP29" s="22">
        <f>BW29/0.0585</f>
        <v>30.769230769230766</v>
      </c>
      <c r="CQ29" s="22">
        <f>BX29/0.163</f>
        <v>23.926380368098158</v>
      </c>
      <c r="CR29" s="22">
        <f>BY29/0.0256</f>
        <v>18.359374999999996</v>
      </c>
      <c r="CS29" s="22">
        <f>BZ29/0.166</f>
        <v>15.060240963855421</v>
      </c>
      <c r="CT29" s="22">
        <f>CA29/0.024</f>
        <v>15</v>
      </c>
      <c r="CU29" s="22">
        <f>AZ29/BK29</f>
        <v>75.367346938775512</v>
      </c>
      <c r="CV29" s="22">
        <f>AZ29/BN29</f>
        <v>13.236559139784946</v>
      </c>
      <c r="CW29" s="22">
        <f>BN29/BK29</f>
        <v>5.6938775510204085</v>
      </c>
      <c r="CX29" s="20">
        <f>AG29/BK29</f>
        <v>135.31571428571428</v>
      </c>
      <c r="CY29" s="22">
        <f>BO29/CB29</f>
        <v>3.7852348993288589</v>
      </c>
      <c r="CZ29" s="22">
        <f>BK29/CD29</f>
        <v>1.7689530685920578</v>
      </c>
      <c r="DA29" s="22">
        <f>AX29/BR29</f>
        <v>14.073170731707316</v>
      </c>
      <c r="DB29" s="22">
        <f>BJ29/BK29</f>
        <v>13.408163265306122</v>
      </c>
      <c r="DC29" s="22">
        <f>AZ29/CC29</f>
        <v>29.078740157480315</v>
      </c>
      <c r="DD29" s="22">
        <f>CC29/BM29</f>
        <v>40.967741935483872</v>
      </c>
      <c r="DE29" s="22">
        <f>BM29/BZ29</f>
        <v>1.24</v>
      </c>
      <c r="DF29" s="22">
        <f>CC29/BZ29</f>
        <v>50.8</v>
      </c>
      <c r="DG29" s="19">
        <f>BK29/BI29</f>
        <v>1.0888888888888888</v>
      </c>
      <c r="DH29" s="20">
        <f>AH29/BN29</f>
        <v>231.80136200716848</v>
      </c>
      <c r="DI29" s="19">
        <f>(BK29/0.46)/((O29/0.023)*(CD29/0.017))^0.5</f>
        <v>0.14338971900425271</v>
      </c>
      <c r="DJ29" s="22">
        <f>BN29/CA29</f>
        <v>775</v>
      </c>
      <c r="DK29" s="22">
        <f>CG29/CT29</f>
        <v>76.859504132231407</v>
      </c>
      <c r="DL29" s="22">
        <f>CG29/CK29</f>
        <v>4.3866156016932072</v>
      </c>
      <c r="DM29" s="22">
        <f>BN29/BZ29</f>
        <v>111.6</v>
      </c>
      <c r="DN29" s="76">
        <f>BL29/BQ29</f>
        <v>9.2340425531914891E-2</v>
      </c>
      <c r="DO29" s="22">
        <f>BR29/BZ29</f>
        <v>16.399999999999999</v>
      </c>
      <c r="DP29" s="20">
        <f>AY29/BZ29</f>
        <v>1602.8</v>
      </c>
      <c r="DQ29" s="22">
        <f>AY29/BQ29</f>
        <v>17.051063829787235</v>
      </c>
      <c r="DR29" s="22">
        <f>AY29/(((BR29/0.195)*(BT29/0.259))^0.5)</f>
        <v>27.015310058192476</v>
      </c>
      <c r="DS29" s="19">
        <f>(BS29/0.074)/(((BR29/0.195)*(BT29/0.259))^0.5)</f>
        <v>0.69606893626892974</v>
      </c>
      <c r="DT29" s="23">
        <f>1/AY29</f>
        <v>2.495632642874969E-4</v>
      </c>
      <c r="DU29" s="22">
        <f>BJ29/BI29</f>
        <v>14.6</v>
      </c>
      <c r="DV29" s="22">
        <f>BK29/BM29</f>
        <v>15.806451612903226</v>
      </c>
      <c r="DW29" s="22">
        <f>1.74+LOG(BK29/BI29)-1.92*LOG(BJ29/BI29)</f>
        <v>-0.45857391685294924</v>
      </c>
      <c r="DX29" s="22">
        <f>BK29*100/BJ29</f>
        <v>7.4581430745814306</v>
      </c>
      <c r="DY29" s="22">
        <f>CC29*100/BJ29</f>
        <v>19.330289193302892</v>
      </c>
      <c r="DZ29" s="19">
        <f>EK29*100/AY29</f>
        <v>0.41193684351258081</v>
      </c>
      <c r="EA29" s="23">
        <f>BA29/BN29</f>
        <v>0.32186379928315412</v>
      </c>
      <c r="EB29" s="19">
        <f>CC29/BK29</f>
        <v>2.5918367346938775</v>
      </c>
      <c r="EC29" s="19">
        <f>(CB29/0.144)/(CH29*CI29)^(1/2)</f>
        <v>1.348881788354187</v>
      </c>
      <c r="ED29" s="19"/>
      <c r="EE29" s="19">
        <f t="shared" si="57"/>
        <v>46.261103750841599</v>
      </c>
      <c r="EF29" s="19">
        <f t="shared" si="57"/>
        <v>1.2010511912777186</v>
      </c>
      <c r="EG29" s="19">
        <f t="shared" si="57"/>
        <v>7.2866668114588524</v>
      </c>
      <c r="EH29" s="19">
        <f t="shared" si="57"/>
        <v>7.5581521621093319</v>
      </c>
      <c r="EI29" s="19">
        <f t="shared" si="57"/>
        <v>0.1194535542862107</v>
      </c>
      <c r="EJ29" s="19">
        <f t="shared" si="57"/>
        <v>11.054883478487499</v>
      </c>
      <c r="EK29" s="19">
        <f t="shared" si="57"/>
        <v>16.506309319549114</v>
      </c>
      <c r="EL29" s="19">
        <f t="shared" si="57"/>
        <v>0.24976652259844057</v>
      </c>
      <c r="EM29" s="19">
        <f t="shared" si="57"/>
        <v>8.4594835262689205</v>
      </c>
      <c r="EN29" s="19">
        <f t="shared" si="57"/>
        <v>1.3031296831222985</v>
      </c>
      <c r="EO29" s="19">
        <f>SUM(EE29:EN29)</f>
        <v>99.999999999999986</v>
      </c>
    </row>
    <row r="30" spans="1:145" s="91" customFormat="1">
      <c r="A30" s="91" t="s">
        <v>222</v>
      </c>
      <c r="B30" s="91">
        <v>6</v>
      </c>
      <c r="C30" s="91" t="s">
        <v>158</v>
      </c>
      <c r="D30" s="91" t="s">
        <v>193</v>
      </c>
      <c r="E30" s="91" t="s">
        <v>221</v>
      </c>
      <c r="F30" s="92"/>
      <c r="G30" s="31">
        <v>42.74</v>
      </c>
      <c r="H30" s="31"/>
      <c r="I30" s="31"/>
      <c r="J30" s="31"/>
      <c r="K30" s="31"/>
      <c r="L30" s="31"/>
      <c r="M30" s="31">
        <v>15.26</v>
      </c>
      <c r="N30" s="31">
        <v>0.25</v>
      </c>
      <c r="O30" s="31">
        <v>5.68</v>
      </c>
      <c r="P30" s="31"/>
      <c r="Q30" s="31"/>
      <c r="R30" s="31"/>
      <c r="S30" s="31"/>
      <c r="U30" s="93">
        <v>0.71120000000000005</v>
      </c>
      <c r="V30" s="93"/>
      <c r="W30" s="31"/>
      <c r="X30" s="31"/>
      <c r="Y30" s="31"/>
      <c r="Z30" s="31"/>
      <c r="AA30" s="31"/>
      <c r="AB30" s="31"/>
      <c r="AC30" s="31"/>
      <c r="AD30" s="31"/>
      <c r="AF30" s="31"/>
      <c r="AG30" s="32"/>
      <c r="AH30" s="32"/>
      <c r="AI30" s="32"/>
      <c r="AJ30" s="31">
        <f t="shared" si="53"/>
        <v>5.93</v>
      </c>
      <c r="AK30" s="31">
        <f t="shared" si="54"/>
        <v>22.72</v>
      </c>
      <c r="AL30" s="31">
        <f t="shared" si="55"/>
        <v>4.4014084507042257E-2</v>
      </c>
      <c r="AM30" s="31"/>
      <c r="AN30" s="31"/>
      <c r="AO30" s="31"/>
      <c r="AP30" s="31"/>
      <c r="AQ30" s="31"/>
      <c r="AR30" s="32"/>
      <c r="AS30" s="32"/>
      <c r="AT30" s="32"/>
      <c r="AV30" s="31"/>
      <c r="AX30" s="32">
        <v>466</v>
      </c>
      <c r="AY30" s="32">
        <v>3562</v>
      </c>
      <c r="AZ30" s="32"/>
      <c r="BA30" s="34"/>
      <c r="BB30" s="34"/>
      <c r="BC30" s="34"/>
      <c r="BD30" s="34">
        <v>75</v>
      </c>
      <c r="BE30" s="34"/>
      <c r="BF30" s="34">
        <v>66</v>
      </c>
      <c r="BG30" s="34"/>
      <c r="BH30" s="34"/>
      <c r="BJ30" s="32"/>
      <c r="BK30" s="32"/>
      <c r="BL30" s="34"/>
      <c r="BM30" s="34"/>
      <c r="BN30" s="32"/>
      <c r="BO30" s="32">
        <v>586</v>
      </c>
      <c r="BP30" s="32"/>
      <c r="BQ30" s="34"/>
      <c r="BR30" s="34"/>
      <c r="BS30" s="34"/>
      <c r="BT30" s="34"/>
      <c r="BU30" s="34"/>
      <c r="BV30" s="34"/>
      <c r="BW30" s="31"/>
      <c r="BX30" s="31"/>
      <c r="BY30" s="31"/>
      <c r="BZ30" s="34"/>
      <c r="CA30" s="31"/>
      <c r="CB30" s="32"/>
      <c r="CC30" s="32">
        <v>163</v>
      </c>
      <c r="CD30" s="34"/>
      <c r="CE30" s="34"/>
      <c r="CG30" s="34"/>
      <c r="CH30" s="34">
        <f t="shared" si="56"/>
        <v>922.83464566929138</v>
      </c>
      <c r="CI30" s="34"/>
      <c r="CJ30" s="34"/>
      <c r="CK30" s="34"/>
      <c r="CL30" s="34"/>
      <c r="CM30" s="34"/>
      <c r="CN30" s="34"/>
      <c r="CO30" s="34"/>
      <c r="CP30" s="34"/>
      <c r="CQ30" s="34"/>
      <c r="CR30" s="34"/>
      <c r="CS30" s="34"/>
      <c r="CT30" s="34"/>
      <c r="CU30" s="34"/>
      <c r="CV30" s="34"/>
      <c r="CW30" s="34"/>
      <c r="CX30" s="32"/>
      <c r="CY30" s="34"/>
      <c r="CZ30" s="34"/>
      <c r="DA30" s="34"/>
      <c r="DB30" s="34"/>
      <c r="DC30" s="34"/>
      <c r="DD30" s="34"/>
      <c r="DE30" s="34"/>
      <c r="DF30" s="34"/>
      <c r="DG30" s="31"/>
      <c r="DH30" s="32"/>
      <c r="DI30" s="31"/>
      <c r="DJ30" s="34"/>
      <c r="DK30" s="34"/>
      <c r="DL30" s="34"/>
      <c r="DM30" s="34"/>
      <c r="DN30" s="94"/>
      <c r="DO30" s="34"/>
      <c r="DP30" s="32"/>
      <c r="DQ30" s="34"/>
      <c r="DR30" s="34"/>
      <c r="DS30" s="31"/>
      <c r="DT30" s="35"/>
      <c r="DU30" s="34"/>
      <c r="DV30" s="34"/>
      <c r="DW30" s="34"/>
      <c r="DX30" s="34"/>
      <c r="DY30" s="34"/>
      <c r="DZ30" s="31"/>
      <c r="EA30" s="35"/>
      <c r="EB30" s="31"/>
      <c r="EC30" s="31"/>
      <c r="ED30" s="31"/>
      <c r="EE30" s="31"/>
      <c r="EF30" s="31"/>
      <c r="EG30" s="31"/>
      <c r="EH30" s="31"/>
      <c r="EI30" s="31"/>
      <c r="EJ30" s="31"/>
      <c r="EK30" s="31"/>
      <c r="EL30" s="31"/>
      <c r="EM30" s="31"/>
      <c r="EN30" s="31"/>
      <c r="EO30" s="31"/>
    </row>
    <row r="31" spans="1:145" s="36" customFormat="1">
      <c r="A31" s="36" t="s">
        <v>163</v>
      </c>
      <c r="B31" s="36">
        <v>5</v>
      </c>
      <c r="C31" s="36" t="s">
        <v>218</v>
      </c>
      <c r="D31" s="36" t="s">
        <v>214</v>
      </c>
      <c r="E31" s="36" t="s">
        <v>63</v>
      </c>
      <c r="F31" s="74">
        <v>0.46500000000000002</v>
      </c>
      <c r="G31" s="19">
        <v>41.03</v>
      </c>
      <c r="H31" s="19">
        <v>0.59</v>
      </c>
      <c r="I31" s="19">
        <v>12.39</v>
      </c>
      <c r="J31" s="19">
        <v>6.6188000000000002</v>
      </c>
      <c r="K31" s="19">
        <v>0.1</v>
      </c>
      <c r="L31" s="19">
        <v>13.09</v>
      </c>
      <c r="M31" s="19">
        <v>15.5</v>
      </c>
      <c r="N31" s="19">
        <v>1.04</v>
      </c>
      <c r="O31" s="19">
        <v>8.86</v>
      </c>
      <c r="P31" s="19">
        <v>0.36</v>
      </c>
      <c r="Q31" s="19">
        <v>0.86</v>
      </c>
      <c r="R31" s="19"/>
      <c r="S31" s="19">
        <f>SUM(G31:Q31)</f>
        <v>100.43880000000001</v>
      </c>
      <c r="U31" s="75">
        <v>0.71036493292457403</v>
      </c>
      <c r="V31" s="75"/>
      <c r="W31" s="19"/>
      <c r="X31" s="19"/>
      <c r="Y31" s="19"/>
      <c r="Z31" s="19"/>
      <c r="AA31" s="19"/>
      <c r="AB31" s="19"/>
      <c r="AC31" s="19"/>
      <c r="AD31" s="19"/>
      <c r="AF31" s="19">
        <f>(L31/40.31)/((L31/40.31)+(J31-(J31*0.1189))*0.8998/71.85)</f>
        <v>0.81639063051811922</v>
      </c>
      <c r="AG31" s="20">
        <f>H31*5995</f>
        <v>3537.0499999999997</v>
      </c>
      <c r="AH31" s="20">
        <f>O31*8302</f>
        <v>73555.72</v>
      </c>
      <c r="AI31" s="20">
        <f>P31*4364</f>
        <v>1571.04</v>
      </c>
      <c r="AJ31" s="19">
        <f t="shared" si="53"/>
        <v>9.8999999999999986</v>
      </c>
      <c r="AK31" s="19">
        <f t="shared" si="54"/>
        <v>8.5192307692307683</v>
      </c>
      <c r="AL31" s="19">
        <f t="shared" si="55"/>
        <v>0.11738148984198647</v>
      </c>
      <c r="AM31" s="19">
        <f>EK31/EG31</f>
        <v>1.2510088781275222</v>
      </c>
      <c r="AN31" s="19">
        <f>O31/I31</f>
        <v>0.71509281678773196</v>
      </c>
      <c r="AO31" s="19">
        <f>(EL31/61.98+EM31/94.2)/(EG31/101.96)</f>
        <v>0.91208369863105787</v>
      </c>
      <c r="AP31" s="19">
        <f>1/AO31</f>
        <v>1.0963906070253151</v>
      </c>
      <c r="AQ31" s="19">
        <f>(EG31/101.96)/((EK31/56.08)+(EL31/61.98)+(EM31/94.2))</f>
        <v>0.31381762441529382</v>
      </c>
      <c r="AR31" s="20">
        <f>1000*(4*(EE31/60.08)-11*(EL31/61.98+EM31/94.2)-2*(EH31/159.69+EF31/79.87))</f>
        <v>1420.8230791091803</v>
      </c>
      <c r="AS31" s="20">
        <f>1000*(6*(EK31/56.08)+2*(EJ31/40.3)+EG31/101.96)</f>
        <v>2439.7675560701582</v>
      </c>
      <c r="AT31" s="20"/>
      <c r="AU31" s="19">
        <f>O31/G31</f>
        <v>0.21593955642213014</v>
      </c>
      <c r="AV31" s="19">
        <f>(O31/94.2)/(I31/101.96)</f>
        <v>0.77400067515580839</v>
      </c>
      <c r="AW31" s="19"/>
      <c r="AX31" s="20">
        <v>458</v>
      </c>
      <c r="AY31" s="20">
        <v>1727</v>
      </c>
      <c r="AZ31" s="20">
        <v>617</v>
      </c>
      <c r="BA31" s="22">
        <v>35</v>
      </c>
      <c r="BB31" s="22">
        <v>19</v>
      </c>
      <c r="BC31" s="22">
        <v>112</v>
      </c>
      <c r="BD31" s="22">
        <v>830</v>
      </c>
      <c r="BE31" s="22">
        <v>40</v>
      </c>
      <c r="BF31" s="22">
        <v>153</v>
      </c>
      <c r="BG31" s="22"/>
      <c r="BH31" s="22"/>
      <c r="BI31" s="36">
        <v>35</v>
      </c>
      <c r="BJ31" s="20">
        <v>264</v>
      </c>
      <c r="BK31" s="20">
        <v>13</v>
      </c>
      <c r="BL31" s="22">
        <v>7.4</v>
      </c>
      <c r="BM31" s="22">
        <v>0.75</v>
      </c>
      <c r="BN31" s="20">
        <v>65</v>
      </c>
      <c r="BO31" s="20">
        <v>156</v>
      </c>
      <c r="BP31" s="20"/>
      <c r="BQ31" s="22">
        <v>71</v>
      </c>
      <c r="BR31" s="22">
        <v>14</v>
      </c>
      <c r="BS31" s="22">
        <v>2.7</v>
      </c>
      <c r="BT31" s="22"/>
      <c r="BU31" s="22">
        <v>1.1000000000000001</v>
      </c>
      <c r="BV31" s="22"/>
      <c r="BW31" s="19"/>
      <c r="BX31" s="19"/>
      <c r="BY31" s="19"/>
      <c r="BZ31" s="22">
        <v>2</v>
      </c>
      <c r="CA31" s="19">
        <v>0.33</v>
      </c>
      <c r="CB31" s="20"/>
      <c r="CC31" s="20">
        <v>30</v>
      </c>
      <c r="CD31" s="22">
        <v>9.8000000000000007</v>
      </c>
      <c r="CE31" s="22"/>
      <c r="CG31" s="22">
        <f>BN31/0.242</f>
        <v>268.59504132231405</v>
      </c>
      <c r="CH31" s="22">
        <f t="shared" si="56"/>
        <v>245.66929133858267</v>
      </c>
      <c r="CI31" s="22"/>
      <c r="CJ31" s="22">
        <f>BQ31/0.48</f>
        <v>147.91666666666669</v>
      </c>
      <c r="CK31" s="22">
        <f>BR31/0.156</f>
        <v>89.743589743589737</v>
      </c>
      <c r="CL31" s="22">
        <f>BS31/0.0591</f>
        <v>45.685279187817265</v>
      </c>
      <c r="CM31" s="22"/>
      <c r="CN31" s="22">
        <f>BU31/0.0376</f>
        <v>29.25531914893617</v>
      </c>
      <c r="CO31" s="22"/>
      <c r="CP31" s="22"/>
      <c r="CQ31" s="22"/>
      <c r="CR31" s="22"/>
      <c r="CS31" s="22">
        <f>BZ31/0.166</f>
        <v>12.048192771084336</v>
      </c>
      <c r="CT31" s="22">
        <f>CA31/0.024</f>
        <v>13.75</v>
      </c>
      <c r="CU31" s="22">
        <f>AZ31/BK31</f>
        <v>47.46153846153846</v>
      </c>
      <c r="CV31" s="22">
        <f>AZ31/BN31</f>
        <v>9.4923076923076923</v>
      </c>
      <c r="CW31" s="22">
        <f>BN31/BK31</f>
        <v>5</v>
      </c>
      <c r="CX31" s="20">
        <f>AG31/BK31</f>
        <v>272.08076923076919</v>
      </c>
      <c r="CY31" s="22"/>
      <c r="CZ31" s="22">
        <f>BK31/CD31</f>
        <v>1.3265306122448979</v>
      </c>
      <c r="DA31" s="22">
        <f>AX31/BR31</f>
        <v>32.714285714285715</v>
      </c>
      <c r="DB31" s="22">
        <f>BJ31/BK31</f>
        <v>20.307692307692307</v>
      </c>
      <c r="DC31" s="22">
        <f>AZ31/CC31</f>
        <v>20.566666666666666</v>
      </c>
      <c r="DD31" s="22">
        <f>CC31/BM31</f>
        <v>40</v>
      </c>
      <c r="DE31" s="22">
        <f>BM31/BZ31</f>
        <v>0.375</v>
      </c>
      <c r="DF31" s="22">
        <f>CC31/BZ31</f>
        <v>15</v>
      </c>
      <c r="DG31" s="19">
        <f>BK31/BI31</f>
        <v>0.37142857142857144</v>
      </c>
      <c r="DH31" s="20">
        <f>AH31/BN31</f>
        <v>1131.6264615384616</v>
      </c>
      <c r="DI31" s="19">
        <f>(BK31/0.46)/((O31/0.023)*(CD31/0.017))^0.5</f>
        <v>5.9971374205868247E-2</v>
      </c>
      <c r="DJ31" s="22">
        <f>BN31/CA31</f>
        <v>196.96969696969697</v>
      </c>
      <c r="DK31" s="22">
        <f>CG31/CT31</f>
        <v>19.53418482344102</v>
      </c>
      <c r="DL31" s="22">
        <f>CG31/CK31</f>
        <v>2.9929161747343569</v>
      </c>
      <c r="DM31" s="22">
        <f>BN31/BZ31</f>
        <v>32.5</v>
      </c>
      <c r="DN31" s="76">
        <f>BL31/BQ31</f>
        <v>0.10422535211267606</v>
      </c>
      <c r="DO31" s="22">
        <f>BR31/BZ31</f>
        <v>7</v>
      </c>
      <c r="DP31" s="20">
        <f>AY31/BZ31</f>
        <v>863.5</v>
      </c>
      <c r="DQ31" s="22">
        <f>AY31/BQ31</f>
        <v>24.323943661971832</v>
      </c>
      <c r="DR31" s="22"/>
      <c r="DS31" s="19"/>
      <c r="DT31" s="23">
        <f>1/AY31</f>
        <v>5.7903879559930511E-4</v>
      </c>
      <c r="DU31" s="22">
        <f>BJ31/BI31</f>
        <v>7.5428571428571427</v>
      </c>
      <c r="DV31" s="22">
        <f>BK31/BM31</f>
        <v>17.333333333333332</v>
      </c>
      <c r="DW31" s="22">
        <f>1.74+LOG(BK31/BI31)-1.92*LOG(BJ31/BI31)</f>
        <v>-0.37499358648098524</v>
      </c>
      <c r="DX31" s="22">
        <f>BK31*100/BJ31</f>
        <v>4.9242424242424239</v>
      </c>
      <c r="DY31" s="22">
        <f>CC31*100/BJ31</f>
        <v>11.363636363636363</v>
      </c>
      <c r="DZ31" s="19">
        <f>EK31*100/AY31</f>
        <v>0.90130643588687831</v>
      </c>
      <c r="EA31" s="23">
        <f>BA31/BN31</f>
        <v>0.53846153846153844</v>
      </c>
      <c r="EB31" s="19">
        <f>CC31/BK31</f>
        <v>2.3076923076923075</v>
      </c>
      <c r="EC31" s="19"/>
      <c r="ED31" s="19"/>
      <c r="EE31" s="19">
        <f t="shared" ref="EE31:EN33" si="58">100*G31/($G31+$H31+$I31+$J31+$K31+$L31+$M31+$N31+$O31+$P31)</f>
        <v>41.203549349861611</v>
      </c>
      <c r="EF31" s="19">
        <f t="shared" si="58"/>
        <v>0.59249559143110775</v>
      </c>
      <c r="EG31" s="19">
        <f t="shared" si="58"/>
        <v>12.442407420053263</v>
      </c>
      <c r="EH31" s="19">
        <f t="shared" si="58"/>
        <v>6.6467963060410442</v>
      </c>
      <c r="EI31" s="19">
        <f t="shared" si="58"/>
        <v>0.10042298159849283</v>
      </c>
      <c r="EJ31" s="19">
        <f t="shared" si="58"/>
        <v>13.145368291242713</v>
      </c>
      <c r="EK31" s="19">
        <f t="shared" si="58"/>
        <v>15.565562147766389</v>
      </c>
      <c r="EL31" s="19">
        <f t="shared" si="58"/>
        <v>1.0443990086243256</v>
      </c>
      <c r="EM31" s="19">
        <f t="shared" si="58"/>
        <v>8.897476169626465</v>
      </c>
      <c r="EN31" s="19">
        <f t="shared" si="58"/>
        <v>0.36152273375457422</v>
      </c>
      <c r="EO31" s="19">
        <f>SUM(EE31:EN31)</f>
        <v>99.999999999999986</v>
      </c>
    </row>
    <row r="32" spans="1:145" s="36" customFormat="1">
      <c r="A32" s="36" t="s">
        <v>163</v>
      </c>
      <c r="B32" s="36">
        <v>5</v>
      </c>
      <c r="C32" s="36" t="s">
        <v>217</v>
      </c>
      <c r="D32" s="36" t="s">
        <v>214</v>
      </c>
      <c r="E32" s="36" t="s">
        <v>63</v>
      </c>
      <c r="F32" s="74">
        <v>0.46500000000000002</v>
      </c>
      <c r="G32" s="19">
        <v>41.52</v>
      </c>
      <c r="H32" s="19">
        <v>0.76</v>
      </c>
      <c r="I32" s="19">
        <v>12.05</v>
      </c>
      <c r="J32" s="19">
        <v>7.0968</v>
      </c>
      <c r="K32" s="19">
        <v>0.11</v>
      </c>
      <c r="L32" s="19">
        <v>12.76</v>
      </c>
      <c r="M32" s="19">
        <v>15.67</v>
      </c>
      <c r="N32" s="19">
        <v>1.2</v>
      </c>
      <c r="O32" s="19">
        <v>8.36</v>
      </c>
      <c r="P32" s="19">
        <v>0.43</v>
      </c>
      <c r="Q32" s="19">
        <v>0.56999999999999995</v>
      </c>
      <c r="R32" s="19"/>
      <c r="S32" s="19">
        <f>SUM(G32:Q32)</f>
        <v>100.52680000000001</v>
      </c>
      <c r="U32" s="75"/>
      <c r="V32" s="75"/>
      <c r="W32" s="19"/>
      <c r="X32" s="19"/>
      <c r="Y32" s="19"/>
      <c r="Z32" s="19"/>
      <c r="AA32" s="19"/>
      <c r="AB32" s="19"/>
      <c r="AC32" s="19"/>
      <c r="AD32" s="19"/>
      <c r="AF32" s="19">
        <f>(L32/40.31)/((L32/40.31)+(J32-(J32*0.1189))*0.8998/71.85)</f>
        <v>0.80167866635561524</v>
      </c>
      <c r="AG32" s="20">
        <f>H32*5995</f>
        <v>4556.2</v>
      </c>
      <c r="AH32" s="20">
        <f>O32*8302</f>
        <v>69404.72</v>
      </c>
      <c r="AI32" s="20">
        <f>P32*4364</f>
        <v>1876.52</v>
      </c>
      <c r="AJ32" s="19">
        <f t="shared" si="53"/>
        <v>9.5599999999999987</v>
      </c>
      <c r="AK32" s="19">
        <f t="shared" si="54"/>
        <v>6.9666666666666668</v>
      </c>
      <c r="AL32" s="19">
        <f t="shared" si="55"/>
        <v>0.14354066985645933</v>
      </c>
      <c r="AM32" s="19">
        <f>EK32/EG32</f>
        <v>1.3004149377593361</v>
      </c>
      <c r="AN32" s="19">
        <f>O32/I32</f>
        <v>0.69377593360995837</v>
      </c>
      <c r="AO32" s="19">
        <f>(EL32/61.98+EM32/94.2)/(EG32/101.96)</f>
        <v>0.91474983839538671</v>
      </c>
      <c r="AP32" s="19">
        <f>1/AO32</f>
        <v>1.093195055113817</v>
      </c>
      <c r="AQ32" s="19">
        <f>(EG32/101.96)/((EK32/56.08)+(EL32/61.98)+(EM32/94.2))</f>
        <v>0.30496579039012423</v>
      </c>
      <c r="AR32" s="20">
        <f>1000*(4*(EE32/60.08)-11*(EL32/61.98+EM32/94.2)-2*(EH32/159.69+EF32/79.87))</f>
        <v>1467.8424878685792</v>
      </c>
      <c r="AS32" s="20">
        <f>1000*(6*(EK32/56.08)+2*(EJ32/40.3)+EG32/101.96)</f>
        <v>2429.0170806763686</v>
      </c>
      <c r="AT32" s="20"/>
      <c r="AU32" s="19">
        <f>O32/G32</f>
        <v>0.20134874759152213</v>
      </c>
      <c r="AV32" s="19">
        <f>(O32/94.2)/(I32/101.96)</f>
        <v>0.75092775149544966</v>
      </c>
      <c r="AW32" s="19"/>
      <c r="AX32" s="20">
        <v>462</v>
      </c>
      <c r="AY32" s="20">
        <v>1819</v>
      </c>
      <c r="AZ32" s="20">
        <v>720</v>
      </c>
      <c r="BA32" s="22"/>
      <c r="BB32" s="22">
        <v>23</v>
      </c>
      <c r="BC32" s="22">
        <v>147</v>
      </c>
      <c r="BD32" s="22">
        <v>746</v>
      </c>
      <c r="BE32" s="22">
        <v>39</v>
      </c>
      <c r="BF32" s="22">
        <v>136</v>
      </c>
      <c r="BG32" s="22"/>
      <c r="BH32" s="22"/>
      <c r="BI32" s="36">
        <v>41</v>
      </c>
      <c r="BJ32" s="20">
        <v>341</v>
      </c>
      <c r="BK32" s="20">
        <v>16</v>
      </c>
      <c r="BL32" s="22">
        <v>9.1999999999999993</v>
      </c>
      <c r="BM32" s="22">
        <v>0.84</v>
      </c>
      <c r="BN32" s="20">
        <v>95</v>
      </c>
      <c r="BO32" s="20">
        <v>191</v>
      </c>
      <c r="BP32" s="20"/>
      <c r="BQ32" s="22">
        <v>88</v>
      </c>
      <c r="BR32" s="22">
        <v>20</v>
      </c>
      <c r="BS32" s="22">
        <v>3.3</v>
      </c>
      <c r="BT32" s="22"/>
      <c r="BU32" s="22">
        <v>1.4</v>
      </c>
      <c r="BV32" s="22"/>
      <c r="BW32" s="19"/>
      <c r="BX32" s="19"/>
      <c r="BY32" s="19"/>
      <c r="BZ32" s="22">
        <v>3.1</v>
      </c>
      <c r="CA32" s="19">
        <v>0.43</v>
      </c>
      <c r="CB32" s="20"/>
      <c r="CC32" s="20">
        <v>38</v>
      </c>
      <c r="CD32" s="22"/>
      <c r="CE32" s="22"/>
      <c r="CG32" s="22">
        <f>BN32/0.242</f>
        <v>392.56198347107437</v>
      </c>
      <c r="CH32" s="22">
        <f t="shared" si="56"/>
        <v>300.78740157480314</v>
      </c>
      <c r="CI32" s="22"/>
      <c r="CJ32" s="22">
        <f>BQ32/0.48</f>
        <v>183.33333333333334</v>
      </c>
      <c r="CK32" s="22">
        <f>BR32/0.156</f>
        <v>128.2051282051282</v>
      </c>
      <c r="CL32" s="22">
        <f>BS32/0.0591</f>
        <v>55.837563451776646</v>
      </c>
      <c r="CM32" s="22"/>
      <c r="CN32" s="22">
        <f>BU32/0.0376</f>
        <v>37.234042553191486</v>
      </c>
      <c r="CO32" s="22"/>
      <c r="CP32" s="22"/>
      <c r="CQ32" s="22"/>
      <c r="CR32" s="22"/>
      <c r="CS32" s="22">
        <f>BZ32/0.166</f>
        <v>18.674698795180724</v>
      </c>
      <c r="CT32" s="22">
        <f>CA32/0.024</f>
        <v>17.916666666666664</v>
      </c>
      <c r="CU32" s="22">
        <f>AZ32/BK32</f>
        <v>45</v>
      </c>
      <c r="CV32" s="22">
        <f>AZ32/BN32</f>
        <v>7.5789473684210522</v>
      </c>
      <c r="CW32" s="22">
        <f>BN32/BK32</f>
        <v>5.9375</v>
      </c>
      <c r="CX32" s="20">
        <f>AG32/BK32</f>
        <v>284.76249999999999</v>
      </c>
      <c r="CY32" s="22"/>
      <c r="CZ32" s="22"/>
      <c r="DA32" s="22">
        <f>AX32/BR32</f>
        <v>23.1</v>
      </c>
      <c r="DB32" s="22">
        <f>BJ32/BK32</f>
        <v>21.3125</v>
      </c>
      <c r="DC32" s="22">
        <f>AZ32/CC32</f>
        <v>18.94736842105263</v>
      </c>
      <c r="DD32" s="22">
        <f>CC32/BM32</f>
        <v>45.238095238095241</v>
      </c>
      <c r="DE32" s="22">
        <f>BM32/BZ32</f>
        <v>0.27096774193548384</v>
      </c>
      <c r="DF32" s="22">
        <f>CC32/BZ32</f>
        <v>12.258064516129032</v>
      </c>
      <c r="DG32" s="19">
        <f>BK32/BI32</f>
        <v>0.3902439024390244</v>
      </c>
      <c r="DH32" s="20">
        <f>AH32/BN32</f>
        <v>730.57600000000002</v>
      </c>
      <c r="DI32" s="19"/>
      <c r="DJ32" s="22">
        <f>BN32/CA32</f>
        <v>220.93023255813955</v>
      </c>
      <c r="DK32" s="22">
        <f>CG32/CT32</f>
        <v>21.910436286757641</v>
      </c>
      <c r="DL32" s="22">
        <f>CG32/CK32</f>
        <v>3.0619834710743801</v>
      </c>
      <c r="DM32" s="22">
        <f>BN32/BZ32</f>
        <v>30.64516129032258</v>
      </c>
      <c r="DN32" s="76">
        <f>BL32/BQ32</f>
        <v>0.10454545454545454</v>
      </c>
      <c r="DO32" s="22">
        <f>BR32/BZ32</f>
        <v>6.4516129032258061</v>
      </c>
      <c r="DP32" s="20">
        <f>AY32/BZ32</f>
        <v>586.77419354838707</v>
      </c>
      <c r="DQ32" s="22">
        <f>AY32/BQ32</f>
        <v>20.670454545454547</v>
      </c>
      <c r="DR32" s="22"/>
      <c r="DS32" s="19"/>
      <c r="DT32" s="23">
        <f>1/AY32</f>
        <v>5.4975261132490382E-4</v>
      </c>
      <c r="DU32" s="22">
        <f>BJ32/BI32</f>
        <v>8.3170731707317067</v>
      </c>
      <c r="DV32" s="22">
        <f>BK32/BM32</f>
        <v>19.047619047619047</v>
      </c>
      <c r="DW32" s="22">
        <f>1.74+LOG(BK32/BI32)-1.92*LOG(BJ32/BI32)</f>
        <v>-0.43500727682751417</v>
      </c>
      <c r="DX32" s="22">
        <f>BK32*100/BJ32</f>
        <v>4.6920821114369504</v>
      </c>
      <c r="DY32" s="22">
        <f>CC32*100/BJ32</f>
        <v>11.143695014662757</v>
      </c>
      <c r="DZ32" s="19">
        <f>EK32*100/AY32</f>
        <v>0.86183465451687546</v>
      </c>
      <c r="EA32" s="23">
        <f>BA32/BN32</f>
        <v>0</v>
      </c>
      <c r="EB32" s="19">
        <f>CC32/BK32</f>
        <v>2.375</v>
      </c>
      <c r="EC32" s="19"/>
      <c r="ED32" s="19"/>
      <c r="EE32" s="19">
        <f t="shared" si="58"/>
        <v>41.537944391977327</v>
      </c>
      <c r="EF32" s="19">
        <f t="shared" si="58"/>
        <v>0.76032846189553871</v>
      </c>
      <c r="EG32" s="19">
        <f t="shared" si="58"/>
        <v>12.055207849791108</v>
      </c>
      <c r="EH32" s="19">
        <f t="shared" si="58"/>
        <v>7.0998671426056044</v>
      </c>
      <c r="EI32" s="19">
        <f t="shared" si="58"/>
        <v>0.11004754053751219</v>
      </c>
      <c r="EJ32" s="19">
        <f t="shared" si="58"/>
        <v>12.765514702351414</v>
      </c>
      <c r="EK32" s="19">
        <f t="shared" si="58"/>
        <v>15.676772365661964</v>
      </c>
      <c r="EL32" s="19">
        <f t="shared" si="58"/>
        <v>1.2005186240455874</v>
      </c>
      <c r="EM32" s="19">
        <f t="shared" si="58"/>
        <v>8.3636130808509268</v>
      </c>
      <c r="EN32" s="19">
        <f t="shared" si="58"/>
        <v>0.43018584028300216</v>
      </c>
      <c r="EO32" s="19">
        <f>SUM(EE32:EN32)</f>
        <v>99.999999999999986</v>
      </c>
    </row>
    <row r="33" spans="1:145" s="36" customFormat="1">
      <c r="A33" s="36" t="s">
        <v>163</v>
      </c>
      <c r="B33" s="36">
        <v>5</v>
      </c>
      <c r="C33" s="36" t="s">
        <v>216</v>
      </c>
      <c r="D33" s="19" t="s">
        <v>268</v>
      </c>
      <c r="E33" s="36" t="s">
        <v>63</v>
      </c>
      <c r="F33" s="74">
        <v>0.46500000000000002</v>
      </c>
      <c r="G33" s="19">
        <v>41.88</v>
      </c>
      <c r="H33" s="19">
        <v>0.69</v>
      </c>
      <c r="I33" s="19">
        <v>12.28</v>
      </c>
      <c r="J33" s="19">
        <v>6.8895000000000008</v>
      </c>
      <c r="K33" s="19">
        <v>0.11</v>
      </c>
      <c r="L33" s="19">
        <v>12.78</v>
      </c>
      <c r="M33" s="19">
        <v>15.21</v>
      </c>
      <c r="N33" s="19">
        <v>1.06</v>
      </c>
      <c r="O33" s="19">
        <v>8.36</v>
      </c>
      <c r="P33" s="19">
        <v>0.39</v>
      </c>
      <c r="Q33" s="19">
        <v>0.83</v>
      </c>
      <c r="R33" s="19"/>
      <c r="S33" s="19">
        <f>SUM(G33:Q33)</f>
        <v>100.47949999999999</v>
      </c>
      <c r="U33" s="75">
        <v>0.71041416174283345</v>
      </c>
      <c r="V33" s="75">
        <v>0.51207967674656041</v>
      </c>
      <c r="W33" s="19">
        <v>18.728000000000002</v>
      </c>
      <c r="X33" s="19">
        <v>15.648</v>
      </c>
      <c r="Y33" s="19">
        <v>38.877000000000002</v>
      </c>
      <c r="Z33" s="19">
        <f>Y33/W33</f>
        <v>2.0758756941478</v>
      </c>
      <c r="AA33" s="19">
        <f>X33/W33</f>
        <v>0.83554036736437409</v>
      </c>
      <c r="AB33" s="19">
        <f>(X33-((0.1084*W33)+13.491))*100</f>
        <v>12.688479999999913</v>
      </c>
      <c r="AC33" s="19">
        <f>(Y33-(1.209*W33+15.627))*100</f>
        <v>60.784799999999706</v>
      </c>
      <c r="AD33" s="19"/>
      <c r="AF33" s="19">
        <f>(L33/40.31)/((L33/40.31)+(J33-(J33*0.1189))*0.8998/71.85)</f>
        <v>0.80659431950685778</v>
      </c>
      <c r="AG33" s="20">
        <f>H33*5995</f>
        <v>4136.5499999999993</v>
      </c>
      <c r="AH33" s="20">
        <f>O33*8302</f>
        <v>69404.72</v>
      </c>
      <c r="AI33" s="20">
        <f>P33*4364</f>
        <v>1701.96</v>
      </c>
      <c r="AJ33" s="19">
        <f t="shared" si="53"/>
        <v>9.42</v>
      </c>
      <c r="AK33" s="19">
        <f t="shared" si="54"/>
        <v>7.8867924528301874</v>
      </c>
      <c r="AL33" s="19">
        <f t="shared" si="55"/>
        <v>0.12679425837320576</v>
      </c>
      <c r="AM33" s="19">
        <f>EK33/EG33</f>
        <v>1.2385993485342019</v>
      </c>
      <c r="AN33" s="19">
        <f>O33/I33</f>
        <v>0.68078175895765469</v>
      </c>
      <c r="AO33" s="19">
        <f>(EL33/61.98+EM33/94.2)/(EG33/101.96)</f>
        <v>0.87886229659317983</v>
      </c>
      <c r="AP33" s="19">
        <f>1/AO33</f>
        <v>1.1378346799907086</v>
      </c>
      <c r="AQ33" s="19">
        <f>(EG33/101.96)/((EK33/56.08)+(EL33/61.98)+(EM33/94.2))</f>
        <v>0.31940913925953401</v>
      </c>
      <c r="AR33" s="20">
        <f>1000*(4*(EE33/60.08)-11*(EL33/61.98+EM33/94.2)-2*(EH33/159.69+EF33/79.87))</f>
        <v>1525.7199242798779</v>
      </c>
      <c r="AS33" s="20">
        <f>1000*(6*(EK33/56.08)+2*(EJ33/40.3)+EG33/101.96)</f>
        <v>2390.3789594024074</v>
      </c>
      <c r="AT33" s="20"/>
      <c r="AU33" s="19">
        <f>O33/G33</f>
        <v>0.19961795606494745</v>
      </c>
      <c r="AV33" s="19">
        <f>(O33/94.2)/(I33/101.96)</f>
        <v>0.73686314377200068</v>
      </c>
      <c r="AW33" s="19"/>
      <c r="AX33" s="20">
        <v>432</v>
      </c>
      <c r="AY33" s="20">
        <v>1706</v>
      </c>
      <c r="AZ33" s="20">
        <v>501</v>
      </c>
      <c r="BA33" s="22">
        <v>33</v>
      </c>
      <c r="BB33" s="22">
        <v>21.4</v>
      </c>
      <c r="BC33" s="22">
        <v>110</v>
      </c>
      <c r="BD33" s="22">
        <v>880</v>
      </c>
      <c r="BE33" s="22">
        <v>41.8</v>
      </c>
      <c r="BF33" s="22">
        <v>141</v>
      </c>
      <c r="BG33" s="22"/>
      <c r="BH33" s="22"/>
      <c r="BI33" s="36">
        <v>27</v>
      </c>
      <c r="BJ33" s="20">
        <v>319</v>
      </c>
      <c r="BK33" s="20">
        <v>18</v>
      </c>
      <c r="BL33" s="22">
        <v>8.3000000000000007</v>
      </c>
      <c r="BM33" s="22">
        <v>0.92</v>
      </c>
      <c r="BN33" s="20">
        <v>77</v>
      </c>
      <c r="BO33" s="20">
        <v>176</v>
      </c>
      <c r="BP33" s="20"/>
      <c r="BQ33" s="22">
        <v>94</v>
      </c>
      <c r="BR33" s="22">
        <v>16.600000000000001</v>
      </c>
      <c r="BS33" s="22">
        <v>3.01</v>
      </c>
      <c r="BT33" s="22"/>
      <c r="BU33" s="22">
        <v>1.4</v>
      </c>
      <c r="BV33" s="22"/>
      <c r="BW33" s="19"/>
      <c r="BX33" s="19"/>
      <c r="BY33" s="19"/>
      <c r="BZ33" s="22">
        <v>2.37</v>
      </c>
      <c r="CA33" s="19">
        <v>0.45</v>
      </c>
      <c r="CB33" s="20">
        <v>16.52</v>
      </c>
      <c r="CC33" s="20">
        <v>36.85</v>
      </c>
      <c r="CD33" s="22">
        <v>9.125</v>
      </c>
      <c r="CE33" s="22"/>
      <c r="CG33" s="22">
        <f>BN33/0.242</f>
        <v>318.18181818181819</v>
      </c>
      <c r="CH33" s="22">
        <f t="shared" si="56"/>
        <v>277.16535433070868</v>
      </c>
      <c r="CI33" s="22"/>
      <c r="CJ33" s="22">
        <f>BQ33/0.48</f>
        <v>195.83333333333334</v>
      </c>
      <c r="CK33" s="22">
        <f>BR33/0.156</f>
        <v>106.41025641025642</v>
      </c>
      <c r="CL33" s="22">
        <f>BS33/0.0591</f>
        <v>50.930626057529608</v>
      </c>
      <c r="CM33" s="22"/>
      <c r="CN33" s="22">
        <f>BU33/0.0376</f>
        <v>37.234042553191486</v>
      </c>
      <c r="CO33" s="22"/>
      <c r="CP33" s="22"/>
      <c r="CQ33" s="22"/>
      <c r="CR33" s="22"/>
      <c r="CS33" s="22">
        <f>BZ33/0.166</f>
        <v>14.27710843373494</v>
      </c>
      <c r="CT33" s="22">
        <f>CA33/0.024</f>
        <v>18.75</v>
      </c>
      <c r="CU33" s="22">
        <f>AZ33/BK33</f>
        <v>27.833333333333332</v>
      </c>
      <c r="CV33" s="22">
        <f>AZ33/BN33</f>
        <v>6.5064935064935066</v>
      </c>
      <c r="CW33" s="22">
        <f>BN33/BK33</f>
        <v>4.2777777777777777</v>
      </c>
      <c r="CX33" s="20">
        <f>AG33/BK33</f>
        <v>229.80833333333328</v>
      </c>
      <c r="CY33" s="22">
        <f>BO33/CB33</f>
        <v>10.653753026634384</v>
      </c>
      <c r="CZ33" s="22">
        <f>BK33/CD33</f>
        <v>1.9726027397260273</v>
      </c>
      <c r="DA33" s="22">
        <f>AX33/BR33</f>
        <v>26.024096385542165</v>
      </c>
      <c r="DB33" s="22">
        <f>BJ33/BK33</f>
        <v>17.722222222222221</v>
      </c>
      <c r="DC33" s="22">
        <f>AZ33/CC33</f>
        <v>13.595658073270013</v>
      </c>
      <c r="DD33" s="22">
        <f>CC33/BM33</f>
        <v>40.054347826086953</v>
      </c>
      <c r="DE33" s="22">
        <f>BM33/BZ33</f>
        <v>0.3881856540084388</v>
      </c>
      <c r="DF33" s="22">
        <f>CC33/BZ33</f>
        <v>15.548523206751055</v>
      </c>
      <c r="DG33" s="19">
        <f>BK33/BI33</f>
        <v>0.66666666666666663</v>
      </c>
      <c r="DH33" s="20">
        <f>AH33/BN33</f>
        <v>901.36</v>
      </c>
      <c r="DI33" s="19">
        <f>(BK33/0.46)/((O33/0.023)*(CD33/0.017))^0.5</f>
        <v>8.858975014832049E-2</v>
      </c>
      <c r="DJ33" s="22">
        <f>BN33/CA33</f>
        <v>171.11111111111111</v>
      </c>
      <c r="DK33" s="22">
        <f>CG33/CT33</f>
        <v>16.969696969696969</v>
      </c>
      <c r="DL33" s="22">
        <f>CG33/CK33</f>
        <v>2.9901423877327487</v>
      </c>
      <c r="DM33" s="22">
        <f>BN33/BZ33</f>
        <v>32.489451476793249</v>
      </c>
      <c r="DN33" s="76">
        <f>BL33/BQ33</f>
        <v>8.8297872340425534E-2</v>
      </c>
      <c r="DO33" s="22">
        <f>BR33/BZ33</f>
        <v>7.004219409282701</v>
      </c>
      <c r="DP33" s="20">
        <f>AY33/BZ33</f>
        <v>719.83122362869199</v>
      </c>
      <c r="DQ33" s="22">
        <f>AY33/BQ33</f>
        <v>18.148936170212767</v>
      </c>
      <c r="DR33" s="22"/>
      <c r="DS33" s="19"/>
      <c r="DT33" s="23">
        <f>1/AY33</f>
        <v>5.8616647127784287E-4</v>
      </c>
      <c r="DU33" s="22">
        <f>BJ33/BI33</f>
        <v>11.814814814814815</v>
      </c>
      <c r="DV33" s="22">
        <f>BK33/BM33</f>
        <v>19.565217391304348</v>
      </c>
      <c r="DW33" s="22">
        <f>1.74+LOG(BK33/BI33)-1.92*LOG(BJ33/BI33)</f>
        <v>-0.49515094334021348</v>
      </c>
      <c r="DX33" s="22">
        <f>BK33*100/BJ33</f>
        <v>5.6426332288401255</v>
      </c>
      <c r="DY33" s="22">
        <f>CC33*100/BJ33</f>
        <v>11.551724137931034</v>
      </c>
      <c r="DZ33" s="19">
        <f>EK33*100/AY33</f>
        <v>0.8946951091712444</v>
      </c>
      <c r="EA33" s="23">
        <f>BA33/BN33</f>
        <v>0.42857142857142855</v>
      </c>
      <c r="EB33" s="19">
        <f>CC33/BK33</f>
        <v>2.0472222222222225</v>
      </c>
      <c r="EC33" s="19"/>
      <c r="ED33" s="19"/>
      <c r="EE33" s="19">
        <f t="shared" si="58"/>
        <v>42.027305706501295</v>
      </c>
      <c r="EF33" s="19">
        <f t="shared" si="58"/>
        <v>0.6924269564824711</v>
      </c>
      <c r="EG33" s="19">
        <f t="shared" si="58"/>
        <v>12.323192790731515</v>
      </c>
      <c r="EH33" s="19">
        <f t="shared" si="58"/>
        <v>6.9137326328782391</v>
      </c>
      <c r="EI33" s="19">
        <f t="shared" si="58"/>
        <v>0.1103869061059012</v>
      </c>
      <c r="EJ33" s="19">
        <f t="shared" si="58"/>
        <v>12.824951454849248</v>
      </c>
      <c r="EK33" s="19">
        <f t="shared" si="58"/>
        <v>15.263498562461429</v>
      </c>
      <c r="EL33" s="19">
        <f t="shared" si="58"/>
        <v>1.0637283679295932</v>
      </c>
      <c r="EM33" s="19">
        <f t="shared" si="58"/>
        <v>8.3894048640484904</v>
      </c>
      <c r="EN33" s="19">
        <f t="shared" si="58"/>
        <v>0.39137175801183149</v>
      </c>
      <c r="EO33" s="19">
        <f>SUM(EE33:EN33)</f>
        <v>100.00000000000001</v>
      </c>
    </row>
    <row r="34" spans="1:145" s="36" customFormat="1">
      <c r="A34" s="36" t="s">
        <v>163</v>
      </c>
      <c r="B34" s="36">
        <v>5</v>
      </c>
      <c r="C34" s="36" t="s">
        <v>215</v>
      </c>
      <c r="D34" s="19" t="s">
        <v>220</v>
      </c>
      <c r="E34" s="36" t="s">
        <v>63</v>
      </c>
      <c r="F34" s="74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U34" s="75"/>
      <c r="V34" s="75"/>
      <c r="W34" s="19">
        <v>18.734999999999999</v>
      </c>
      <c r="X34" s="19">
        <v>15.657999999999999</v>
      </c>
      <c r="Y34" s="19">
        <v>38.930999999999997</v>
      </c>
      <c r="Z34" s="19">
        <f>Y34/W34</f>
        <v>2.0779823859087267</v>
      </c>
      <c r="AA34" s="19">
        <f>X34/W34</f>
        <v>0.83576194288764349</v>
      </c>
      <c r="AB34" s="19">
        <f>(X34-((0.1084*W34)+13.491))*100</f>
        <v>13.612599999999908</v>
      </c>
      <c r="AC34" s="19">
        <f>(Y34-(1.209*W34+15.627))*100</f>
        <v>65.3384999999993</v>
      </c>
      <c r="AD34" s="19"/>
      <c r="AF34" s="19"/>
      <c r="AG34" s="20"/>
      <c r="AH34" s="20"/>
      <c r="AI34" s="20"/>
      <c r="AJ34" s="19"/>
      <c r="AK34" s="19"/>
      <c r="AL34" s="19"/>
      <c r="AM34" s="19"/>
      <c r="AN34" s="19"/>
      <c r="AO34" s="19"/>
      <c r="AP34" s="19"/>
      <c r="AQ34" s="19"/>
      <c r="AR34" s="20"/>
      <c r="AS34" s="20"/>
      <c r="AT34" s="20"/>
      <c r="AU34" s="19"/>
      <c r="AV34" s="19"/>
      <c r="AW34" s="19"/>
      <c r="AX34" s="20"/>
      <c r="AY34" s="20"/>
      <c r="AZ34" s="20"/>
      <c r="BA34" s="22"/>
      <c r="BB34" s="22"/>
      <c r="BC34" s="22"/>
      <c r="BD34" s="22"/>
      <c r="BE34" s="22"/>
      <c r="BF34" s="22"/>
      <c r="BG34" s="22"/>
      <c r="BH34" s="22"/>
      <c r="BJ34" s="20"/>
      <c r="BK34" s="20"/>
      <c r="BL34" s="22"/>
      <c r="BM34" s="22"/>
      <c r="BN34" s="20"/>
      <c r="BO34" s="20"/>
      <c r="BP34" s="20"/>
      <c r="BQ34" s="22"/>
      <c r="BR34" s="22"/>
      <c r="BS34" s="22"/>
      <c r="BT34" s="22"/>
      <c r="BU34" s="22"/>
      <c r="BV34" s="22"/>
      <c r="BW34" s="19"/>
      <c r="BX34" s="19"/>
      <c r="BY34" s="19"/>
      <c r="BZ34" s="22"/>
      <c r="CA34" s="19"/>
      <c r="CB34" s="20"/>
      <c r="CC34" s="20"/>
      <c r="CD34" s="22"/>
      <c r="CE34" s="22"/>
      <c r="CG34" s="22"/>
      <c r="CH34" s="22"/>
      <c r="CI34" s="22"/>
      <c r="CJ34" s="22"/>
      <c r="CK34" s="22"/>
      <c r="CL34" s="22"/>
      <c r="CM34" s="22"/>
      <c r="CN34" s="22"/>
      <c r="CO34" s="22"/>
      <c r="CP34" s="22"/>
      <c r="CQ34" s="22"/>
      <c r="CR34" s="22"/>
      <c r="CS34" s="22"/>
      <c r="CT34" s="22"/>
      <c r="CU34" s="22"/>
      <c r="CV34" s="22"/>
      <c r="CW34" s="22"/>
      <c r="CX34" s="20"/>
      <c r="CY34" s="22"/>
      <c r="CZ34" s="22"/>
      <c r="DA34" s="22"/>
      <c r="DB34" s="22"/>
      <c r="DC34" s="22"/>
      <c r="DD34" s="22"/>
      <c r="DE34" s="22"/>
      <c r="DF34" s="22"/>
      <c r="DG34" s="19"/>
      <c r="DH34" s="20"/>
      <c r="DI34" s="19"/>
      <c r="DJ34" s="22"/>
      <c r="DK34" s="22"/>
      <c r="DL34" s="22"/>
      <c r="DM34" s="22"/>
      <c r="DN34" s="76"/>
      <c r="DO34" s="22"/>
      <c r="DP34" s="20"/>
      <c r="DQ34" s="22"/>
      <c r="DR34" s="22"/>
      <c r="DS34" s="19"/>
      <c r="DT34" s="23"/>
      <c r="DU34" s="22"/>
      <c r="DV34" s="22"/>
      <c r="DW34" s="22"/>
      <c r="DX34" s="22"/>
      <c r="DY34" s="22"/>
      <c r="DZ34" s="19"/>
      <c r="EA34" s="23"/>
      <c r="EB34" s="19"/>
      <c r="EC34" s="19"/>
      <c r="ED34" s="19"/>
      <c r="EE34" s="19"/>
      <c r="EF34" s="19"/>
      <c r="EG34" s="19"/>
      <c r="EH34" s="19"/>
      <c r="EI34" s="19"/>
      <c r="EJ34" s="19"/>
      <c r="EK34" s="19"/>
      <c r="EL34" s="19"/>
      <c r="EM34" s="19"/>
      <c r="EN34" s="19"/>
      <c r="EO34" s="19"/>
    </row>
    <row r="35" spans="1:145" s="36" customFormat="1">
      <c r="A35" s="36" t="s">
        <v>163</v>
      </c>
      <c r="B35" s="36">
        <v>5</v>
      </c>
      <c r="C35" s="36" t="s">
        <v>213</v>
      </c>
      <c r="D35" s="19" t="s">
        <v>269</v>
      </c>
      <c r="E35" s="36" t="s">
        <v>63</v>
      </c>
      <c r="F35" s="74">
        <v>0.46500000000000002</v>
      </c>
      <c r="G35" s="19">
        <v>42.22</v>
      </c>
      <c r="H35" s="19">
        <v>0.74</v>
      </c>
      <c r="I35" s="19">
        <v>11.87</v>
      </c>
      <c r="J35" s="19">
        <v>7.2064000000000004</v>
      </c>
      <c r="K35" s="19">
        <v>0.12</v>
      </c>
      <c r="L35" s="19">
        <v>12.7</v>
      </c>
      <c r="M35" s="19">
        <v>15.11</v>
      </c>
      <c r="N35" s="19">
        <v>1.06</v>
      </c>
      <c r="O35" s="19">
        <v>8.2100000000000009</v>
      </c>
      <c r="P35" s="19">
        <v>0.34</v>
      </c>
      <c r="Q35" s="19">
        <v>0.77</v>
      </c>
      <c r="R35" s="19"/>
      <c r="S35" s="19">
        <f>SUM(G35:Q35)</f>
        <v>100.3464</v>
      </c>
      <c r="U35" s="75">
        <v>0.71026932504395202</v>
      </c>
      <c r="V35" s="75">
        <v>0.51206265524756089</v>
      </c>
      <c r="W35" s="19"/>
      <c r="X35" s="19"/>
      <c r="Y35" s="19"/>
      <c r="Z35" s="19"/>
      <c r="AA35" s="19"/>
      <c r="AB35" s="19"/>
      <c r="AC35" s="19"/>
      <c r="AD35" s="19"/>
      <c r="AF35" s="19">
        <f t="shared" ref="AF35:AF45" si="59">(L35/40.31)/((L35/40.31)+(J35-(J35*0.1189))*0.8998/71.85)</f>
        <v>0.79847342436591406</v>
      </c>
      <c r="AG35" s="20">
        <f t="shared" ref="AG35:AG45" si="60">H35*5995</f>
        <v>4436.3</v>
      </c>
      <c r="AH35" s="20">
        <f t="shared" ref="AH35:AH41" si="61">O35*8302</f>
        <v>68159.420000000013</v>
      </c>
      <c r="AI35" s="20">
        <f t="shared" ref="AI35:AI41" si="62">P35*4364</f>
        <v>1483.7600000000002</v>
      </c>
      <c r="AJ35" s="19">
        <f t="shared" ref="AJ35:AJ45" si="63">N35+O35</f>
        <v>9.2700000000000014</v>
      </c>
      <c r="AK35" s="19">
        <f t="shared" ref="AK35:AK45" si="64">O35/N35</f>
        <v>7.7452830188679247</v>
      </c>
      <c r="AL35" s="19">
        <f t="shared" ref="AL35:AL45" si="65">N35/O35</f>
        <v>0.12911084043848964</v>
      </c>
      <c r="AM35" s="19">
        <f t="shared" ref="AM35:AM45" si="66">EK35/EG35</f>
        <v>1.2729570345408592</v>
      </c>
      <c r="AN35" s="19">
        <f t="shared" ref="AN35:AN45" si="67">O35/I35</f>
        <v>0.6916596461668072</v>
      </c>
      <c r="AO35" s="19">
        <f t="shared" ref="AO35:AO45" si="68">(EL35/61.98+EM35/94.2)/(EG35/101.96)</f>
        <v>0.89554105427684583</v>
      </c>
      <c r="AP35" s="19">
        <f t="shared" ref="AP35:AP45" si="69">1/AO35</f>
        <v>1.1166433914160476</v>
      </c>
      <c r="AQ35" s="19">
        <f t="shared" ref="AQ35:AQ45" si="70">(EG35/101.96)/((EK35/56.08)+(EL35/61.98)+(EM35/94.2))</f>
        <v>0.31153367625880635</v>
      </c>
      <c r="AR35" s="20">
        <f t="shared" ref="AR35:AR45" si="71">1000*(4*(EE35/60.08)-11*(EL35/61.98+EM35/94.2)-2*(EH35/159.69+EF35/79.87))</f>
        <v>1561.9200029546985</v>
      </c>
      <c r="AS35" s="20">
        <f t="shared" ref="AS35:AS45" si="72">1000*(6*(EK35/56.08)+2*(EJ35/40.3)+EG35/101.96)</f>
        <v>2373.3638408495999</v>
      </c>
      <c r="AT35" s="20"/>
      <c r="AU35" s="19">
        <f t="shared" ref="AU35:AU45" si="73">O35/G35</f>
        <v>0.19445760303173854</v>
      </c>
      <c r="AV35" s="19">
        <f t="shared" ref="AV35:AV45" si="74">(O35/94.2)/(I35/101.96)</f>
        <v>0.74863712869604737</v>
      </c>
      <c r="AW35" s="19"/>
      <c r="AX35" s="20">
        <v>398</v>
      </c>
      <c r="AY35" s="20">
        <v>1340</v>
      </c>
      <c r="AZ35" s="20">
        <v>669</v>
      </c>
      <c r="BA35" s="22">
        <v>38.200000000000003</v>
      </c>
      <c r="BB35" s="22"/>
      <c r="BC35" s="22">
        <v>131</v>
      </c>
      <c r="BD35" s="22">
        <v>690</v>
      </c>
      <c r="BE35" s="22">
        <v>31</v>
      </c>
      <c r="BF35" s="22">
        <v>120</v>
      </c>
      <c r="BG35" s="22">
        <v>30</v>
      </c>
      <c r="BH35" s="22">
        <v>80</v>
      </c>
      <c r="BI35" s="36">
        <v>29.3</v>
      </c>
      <c r="BJ35" s="20">
        <v>290</v>
      </c>
      <c r="BK35" s="20">
        <v>11.8</v>
      </c>
      <c r="BL35" s="22">
        <v>9</v>
      </c>
      <c r="BM35" s="22">
        <v>0.81</v>
      </c>
      <c r="BN35" s="20">
        <v>86.9</v>
      </c>
      <c r="BO35" s="20">
        <v>196</v>
      </c>
      <c r="BP35" s="20">
        <v>23.2</v>
      </c>
      <c r="BQ35" s="22">
        <v>89.2</v>
      </c>
      <c r="BR35" s="22">
        <v>16.8</v>
      </c>
      <c r="BS35" s="22">
        <v>3.58</v>
      </c>
      <c r="BT35" s="22">
        <v>12</v>
      </c>
      <c r="BU35" s="22">
        <v>1.57</v>
      </c>
      <c r="BV35" s="22">
        <v>7.58</v>
      </c>
      <c r="BW35" s="19">
        <v>1.19</v>
      </c>
      <c r="BX35" s="19">
        <v>3.05</v>
      </c>
      <c r="BY35" s="19">
        <v>0.39800000000000002</v>
      </c>
      <c r="BZ35" s="22">
        <v>2.34</v>
      </c>
      <c r="CA35" s="19">
        <v>0.31900000000000001</v>
      </c>
      <c r="CB35" s="20">
        <v>29</v>
      </c>
      <c r="CC35" s="20">
        <v>30.7</v>
      </c>
      <c r="CD35" s="22">
        <v>7.98</v>
      </c>
      <c r="CE35" s="22">
        <v>13</v>
      </c>
      <c r="CG35" s="22">
        <f t="shared" ref="CG35:CG45" si="75">BN35/0.242</f>
        <v>359.09090909090912</v>
      </c>
      <c r="CH35" s="22">
        <f t="shared" ref="CH35:CH45" si="76">BO35/0.635</f>
        <v>308.66141732283467</v>
      </c>
      <c r="CI35" s="22">
        <f>BP35/0.0963</f>
        <v>240.91381100726895</v>
      </c>
      <c r="CJ35" s="22">
        <f>BQ35/0.48</f>
        <v>185.83333333333334</v>
      </c>
      <c r="CK35" s="22">
        <f>BR35/0.156</f>
        <v>107.69230769230769</v>
      </c>
      <c r="CL35" s="22">
        <f>BS35/0.0591</f>
        <v>60.575296108291035</v>
      </c>
      <c r="CM35" s="22">
        <f>BT35/0.212</f>
        <v>56.60377358490566</v>
      </c>
      <c r="CN35" s="22">
        <f>BU35/0.0376</f>
        <v>41.755319148936174</v>
      </c>
      <c r="CO35" s="22">
        <f>BV35/0.259</f>
        <v>29.266409266409266</v>
      </c>
      <c r="CP35" s="22">
        <f>BW35/0.0585</f>
        <v>20.341880341880341</v>
      </c>
      <c r="CQ35" s="22">
        <f>BX35/0.163</f>
        <v>18.711656441717789</v>
      </c>
      <c r="CR35" s="22">
        <f>BY35/0.0256</f>
        <v>15.546875</v>
      </c>
      <c r="CS35" s="22">
        <f>BZ35/0.166</f>
        <v>14.096385542168672</v>
      </c>
      <c r="CT35" s="22">
        <f>CA35/0.024</f>
        <v>13.291666666666666</v>
      </c>
      <c r="CU35" s="22">
        <f t="shared" ref="CU35:CU45" si="77">AZ35/BK35</f>
        <v>56.694915254237287</v>
      </c>
      <c r="CV35" s="22">
        <f t="shared" ref="CV35:CV45" si="78">AZ35/BN35</f>
        <v>7.6985040276179513</v>
      </c>
      <c r="CW35" s="22">
        <f t="shared" ref="CW35:CW45" si="79">BN35/BK35</f>
        <v>7.3644067796610173</v>
      </c>
      <c r="CX35" s="20">
        <f t="shared" ref="CX35:CX45" si="80">AG35/BK35</f>
        <v>375.95762711864404</v>
      </c>
      <c r="CY35" s="22">
        <f t="shared" ref="CY35:CY41" si="81">BO35/CB35</f>
        <v>6.7586206896551726</v>
      </c>
      <c r="CZ35" s="22">
        <f>BK35/CD35</f>
        <v>1.4786967418546366</v>
      </c>
      <c r="DA35" s="22">
        <f>AX35/BR35</f>
        <v>23.69047619047619</v>
      </c>
      <c r="DB35" s="22">
        <f t="shared" ref="DB35:DB45" si="82">BJ35/BK35</f>
        <v>24.576271186440678</v>
      </c>
      <c r="DC35" s="22">
        <f t="shared" ref="DC35:DC45" si="83">AZ35/CC35</f>
        <v>21.791530944625407</v>
      </c>
      <c r="DD35" s="22">
        <f>CC35/BM35</f>
        <v>37.901234567901234</v>
      </c>
      <c r="DE35" s="22">
        <f>BM35/BZ35</f>
        <v>0.3461538461538462</v>
      </c>
      <c r="DF35" s="22">
        <f>CC35/BZ35</f>
        <v>13.119658119658121</v>
      </c>
      <c r="DG35" s="19">
        <f t="shared" ref="DG35:DG45" si="84">BK35/BI35</f>
        <v>0.40273037542662116</v>
      </c>
      <c r="DH35" s="20">
        <f t="shared" ref="DH35:DH45" si="85">AH35/BN35</f>
        <v>784.34315304948223</v>
      </c>
      <c r="DI35" s="19">
        <f>(BK35/0.46)/((O35/0.023)*(CD35/0.017))^0.5</f>
        <v>6.2667090253306634E-2</v>
      </c>
      <c r="DJ35" s="22">
        <f>BN35/CA35</f>
        <v>272.41379310344831</v>
      </c>
      <c r="DK35" s="22">
        <f>CG35/CT35</f>
        <v>27.016243944143636</v>
      </c>
      <c r="DL35" s="22">
        <f>CG35/CK35</f>
        <v>3.3344155844155847</v>
      </c>
      <c r="DM35" s="22">
        <f>BN35/BZ35</f>
        <v>37.136752136752143</v>
      </c>
      <c r="DN35" s="76">
        <f>BL35/BQ35</f>
        <v>0.10089686098654709</v>
      </c>
      <c r="DO35" s="22">
        <f>BR35/BZ35</f>
        <v>7.1794871794871806</v>
      </c>
      <c r="DP35" s="20">
        <f>AY35/BZ35</f>
        <v>572.64957264957263</v>
      </c>
      <c r="DQ35" s="22">
        <f>AY35/BQ35</f>
        <v>15.022421524663677</v>
      </c>
      <c r="DR35" s="22">
        <f>AY35/(((BR35/0.195)*(BT35/0.259))^0.5)</f>
        <v>21.209318903098545</v>
      </c>
      <c r="DS35" s="19">
        <f>(BS35/0.074)/(((BR35/0.195)*(BT35/0.259))^0.5)</f>
        <v>0.76572571271775702</v>
      </c>
      <c r="DT35" s="23">
        <f t="shared" ref="DT35:DT45" si="86">1/AY35</f>
        <v>7.4626865671641792E-4</v>
      </c>
      <c r="DU35" s="22">
        <f t="shared" ref="DU35:DU45" si="87">BJ35/BI35</f>
        <v>9.8976109215017054</v>
      </c>
      <c r="DV35" s="22">
        <f>BK35/BM35</f>
        <v>14.567901234567902</v>
      </c>
      <c r="DW35" s="22">
        <f t="shared" ref="DW35:DW45" si="88">1.74+LOG(BK35/BI35)-1.92*LOG(BJ35/BI35)</f>
        <v>-0.5664039379340895</v>
      </c>
      <c r="DX35" s="22">
        <f t="shared" ref="DX35:DX45" si="89">BK35*100/BJ35</f>
        <v>4.068965517241379</v>
      </c>
      <c r="DY35" s="22">
        <f t="shared" ref="DY35:DY45" si="90">CC35*100/BJ35</f>
        <v>10.586206896551724</v>
      </c>
      <c r="DZ35" s="19">
        <f t="shared" ref="DZ35:DZ45" si="91">EK35*100/AY35</f>
        <v>1.1324088240772987</v>
      </c>
      <c r="EA35" s="23">
        <f>BA35/BN35</f>
        <v>0.43958573072497126</v>
      </c>
      <c r="EB35" s="19">
        <f t="shared" ref="EB35:EB45" si="92">CC35/BK35</f>
        <v>2.601694915254237</v>
      </c>
      <c r="EC35" s="19">
        <f>(CB35/0.144)/(CH35*CI35)^(1/2)</f>
        <v>0.73852207949952653</v>
      </c>
      <c r="ED35" s="19"/>
      <c r="EE35" s="19">
        <f t="shared" ref="EE35:EE45" si="93">100*G35/($G35+$H35+$I35+$J35+$K35+$L35+$M35+$N35+$O35+$P35)</f>
        <v>42.399604725617714</v>
      </c>
      <c r="EF35" s="19">
        <f t="shared" ref="EF35:EF45" si="94">100*H35/($G35+$H35+$I35+$J35+$K35+$L35+$M35+$N35+$O35+$P35)</f>
        <v>0.7431479748213432</v>
      </c>
      <c r="EG35" s="19">
        <f t="shared" ref="EG35:EG45" si="95">100*I35/($G35+$H35+$I35+$J35+$K35+$L35+$M35+$N35+$O35+$P35)</f>
        <v>11.920495217742356</v>
      </c>
      <c r="EH35" s="19">
        <f t="shared" ref="EH35:EH45" si="96">100*J35/($G35+$H35+$I35+$J35+$K35+$L35+$M35+$N35+$O35+$P35)</f>
        <v>7.2370561699358475</v>
      </c>
      <c r="EI35" s="19">
        <f t="shared" ref="EI35:EI45" si="97">100*K35/($G35+$H35+$I35+$J35+$K35+$L35+$M35+$N35+$O35+$P35)</f>
        <v>0.12051048240346106</v>
      </c>
      <c r="EJ35" s="19">
        <f t="shared" ref="EJ35:EJ45" si="98">100*L35/($G35+$H35+$I35+$J35+$K35+$L35+$M35+$N35+$O35+$P35)</f>
        <v>12.754026054366294</v>
      </c>
      <c r="EK35" s="19">
        <f t="shared" ref="EK35:EK45" si="99">100*M35/($G35+$H35+$I35+$J35+$K35+$L35+$M35+$N35+$O35+$P35)</f>
        <v>15.174278242635804</v>
      </c>
      <c r="EL35" s="19">
        <f t="shared" ref="EL35:EL45" si="100">100*N35/($G35+$H35+$I35+$J35+$K35+$L35+$M35+$N35+$O35+$P35)</f>
        <v>1.0645092612305727</v>
      </c>
      <c r="EM35" s="19">
        <f t="shared" ref="EM35:EM45" si="101">100*O35/($G35+$H35+$I35+$J35+$K35+$L35+$M35+$N35+$O35+$P35)</f>
        <v>8.2449255044367948</v>
      </c>
      <c r="EN35" s="19">
        <f t="shared" ref="EN35:EN45" si="102">100*P35/($G35+$H35+$I35+$J35+$K35+$L35+$M35+$N35+$O35+$P35)</f>
        <v>0.34144636680980633</v>
      </c>
      <c r="EO35" s="19">
        <f t="shared" ref="EO35:EO45" si="103">SUM(EE35:EN35)</f>
        <v>99.999999999999986</v>
      </c>
    </row>
    <row r="36" spans="1:145" s="36" customFormat="1">
      <c r="A36" s="36" t="s">
        <v>163</v>
      </c>
      <c r="B36" s="36">
        <v>5</v>
      </c>
      <c r="C36" s="36" t="s">
        <v>163</v>
      </c>
      <c r="D36" s="36" t="s">
        <v>185</v>
      </c>
      <c r="E36" s="36" t="s">
        <v>63</v>
      </c>
      <c r="F36" s="74"/>
      <c r="G36" s="19">
        <v>50.9</v>
      </c>
      <c r="H36" s="19">
        <v>0.96</v>
      </c>
      <c r="I36" s="19">
        <v>11.7</v>
      </c>
      <c r="J36" s="19">
        <v>10.0502</v>
      </c>
      <c r="K36" s="19">
        <v>0.16</v>
      </c>
      <c r="L36" s="19">
        <v>11</v>
      </c>
      <c r="M36" s="19">
        <v>2.5</v>
      </c>
      <c r="N36" s="19">
        <v>0.34</v>
      </c>
      <c r="O36" s="19">
        <v>6.51</v>
      </c>
      <c r="P36" s="19">
        <v>0.45</v>
      </c>
      <c r="Q36" s="19">
        <v>5.23</v>
      </c>
      <c r="R36" s="19"/>
      <c r="S36" s="19">
        <f>SUM(G36:Q36)</f>
        <v>99.800200000000018</v>
      </c>
      <c r="U36" s="75"/>
      <c r="V36" s="75"/>
      <c r="W36" s="19"/>
      <c r="X36" s="19"/>
      <c r="Y36" s="19"/>
      <c r="Z36" s="19"/>
      <c r="AA36" s="19"/>
      <c r="AB36" s="19"/>
      <c r="AC36" s="19"/>
      <c r="AD36" s="19"/>
      <c r="AF36" s="19">
        <f t="shared" si="59"/>
        <v>0.71104211035677134</v>
      </c>
      <c r="AG36" s="20">
        <f t="shared" si="60"/>
        <v>5755.2</v>
      </c>
      <c r="AH36" s="20">
        <f t="shared" si="61"/>
        <v>54046.02</v>
      </c>
      <c r="AI36" s="20">
        <f t="shared" si="62"/>
        <v>1963.8</v>
      </c>
      <c r="AJ36" s="19">
        <f t="shared" si="63"/>
        <v>6.85</v>
      </c>
      <c r="AK36" s="19">
        <f t="shared" si="64"/>
        <v>19.147058823529409</v>
      </c>
      <c r="AL36" s="19">
        <f t="shared" si="65"/>
        <v>5.22273425499232E-2</v>
      </c>
      <c r="AM36" s="19">
        <f t="shared" si="66"/>
        <v>0.21367521367521367</v>
      </c>
      <c r="AN36" s="19">
        <f t="shared" si="67"/>
        <v>0.55641025641025643</v>
      </c>
      <c r="AO36" s="19">
        <f t="shared" si="68"/>
        <v>0.65005095411406877</v>
      </c>
      <c r="AP36" s="19">
        <f t="shared" si="69"/>
        <v>1.5383409464614421</v>
      </c>
      <c r="AQ36" s="19">
        <f t="shared" si="70"/>
        <v>0.96289254084562148</v>
      </c>
      <c r="AR36" s="20">
        <f t="shared" si="71"/>
        <v>2557.2234652736361</v>
      </c>
      <c r="AS36" s="20">
        <f t="shared" si="72"/>
        <v>981.42081285485858</v>
      </c>
      <c r="AT36" s="20"/>
      <c r="AU36" s="19">
        <f t="shared" si="73"/>
        <v>0.12789783889980352</v>
      </c>
      <c r="AV36" s="19">
        <f t="shared" si="74"/>
        <v>0.6022461756219718</v>
      </c>
      <c r="AW36" s="19"/>
      <c r="AX36" s="20">
        <v>719</v>
      </c>
      <c r="AY36" s="20">
        <v>376</v>
      </c>
      <c r="AZ36" s="20">
        <v>845</v>
      </c>
      <c r="BA36" s="22"/>
      <c r="BB36" s="22"/>
      <c r="BC36" s="22">
        <v>188</v>
      </c>
      <c r="BD36" s="22">
        <v>781</v>
      </c>
      <c r="BE36" s="22">
        <v>106</v>
      </c>
      <c r="BF36" s="22">
        <v>146</v>
      </c>
      <c r="BG36" s="22">
        <v>36</v>
      </c>
      <c r="BH36" s="22">
        <v>127</v>
      </c>
      <c r="BI36" s="36">
        <v>60</v>
      </c>
      <c r="BJ36" s="20">
        <v>424</v>
      </c>
      <c r="BK36" s="20">
        <v>19</v>
      </c>
      <c r="BL36" s="22"/>
      <c r="BM36" s="22"/>
      <c r="BN36" s="20">
        <v>123</v>
      </c>
      <c r="BO36" s="20">
        <v>212</v>
      </c>
      <c r="BP36" s="20"/>
      <c r="BQ36" s="22"/>
      <c r="BR36" s="22"/>
      <c r="BS36" s="22"/>
      <c r="BT36" s="22"/>
      <c r="BU36" s="22"/>
      <c r="BV36" s="22"/>
      <c r="BW36" s="19"/>
      <c r="BX36" s="19"/>
      <c r="BY36" s="19"/>
      <c r="BZ36" s="22"/>
      <c r="CA36" s="19"/>
      <c r="CB36" s="20">
        <v>23</v>
      </c>
      <c r="CC36" s="20">
        <v>44</v>
      </c>
      <c r="CD36" s="22"/>
      <c r="CE36" s="22">
        <v>15</v>
      </c>
      <c r="CG36" s="22">
        <f t="shared" si="75"/>
        <v>508.26446280991735</v>
      </c>
      <c r="CH36" s="22">
        <f t="shared" si="76"/>
        <v>333.85826771653541</v>
      </c>
      <c r="CI36" s="22"/>
      <c r="CJ36" s="22"/>
      <c r="CK36" s="22"/>
      <c r="CL36" s="22"/>
      <c r="CM36" s="22"/>
      <c r="CN36" s="22"/>
      <c r="CO36" s="22"/>
      <c r="CP36" s="22"/>
      <c r="CQ36" s="22"/>
      <c r="CR36" s="22"/>
      <c r="CS36" s="22"/>
      <c r="CT36" s="22"/>
      <c r="CU36" s="22">
        <f t="shared" si="77"/>
        <v>44.473684210526315</v>
      </c>
      <c r="CV36" s="22">
        <f t="shared" si="78"/>
        <v>6.8699186991869921</v>
      </c>
      <c r="CW36" s="22">
        <f t="shared" si="79"/>
        <v>6.4736842105263159</v>
      </c>
      <c r="CX36" s="20">
        <f t="shared" si="80"/>
        <v>302.90526315789475</v>
      </c>
      <c r="CY36" s="22">
        <f t="shared" si="81"/>
        <v>9.2173913043478262</v>
      </c>
      <c r="CZ36" s="22"/>
      <c r="DA36" s="22"/>
      <c r="DB36" s="22">
        <f t="shared" si="82"/>
        <v>22.315789473684209</v>
      </c>
      <c r="DC36" s="22">
        <f t="shared" si="83"/>
        <v>19.204545454545453</v>
      </c>
      <c r="DD36" s="22"/>
      <c r="DE36" s="22"/>
      <c r="DF36" s="22"/>
      <c r="DG36" s="19">
        <f t="shared" si="84"/>
        <v>0.31666666666666665</v>
      </c>
      <c r="DH36" s="20">
        <f t="shared" si="85"/>
        <v>439.39853658536583</v>
      </c>
      <c r="DI36" s="19"/>
      <c r="DJ36" s="22"/>
      <c r="DK36" s="22"/>
      <c r="DL36" s="22"/>
      <c r="DM36" s="22"/>
      <c r="DN36" s="76"/>
      <c r="DO36" s="22"/>
      <c r="DP36" s="20"/>
      <c r="DQ36" s="22"/>
      <c r="DR36" s="22"/>
      <c r="DS36" s="19"/>
      <c r="DT36" s="23">
        <f t="shared" si="86"/>
        <v>2.6595744680851063E-3</v>
      </c>
      <c r="DU36" s="22">
        <f t="shared" si="87"/>
        <v>7.0666666666666664</v>
      </c>
      <c r="DV36" s="22"/>
      <c r="DW36" s="22">
        <f t="shared" si="88"/>
        <v>-0.38988969335226553</v>
      </c>
      <c r="DX36" s="22">
        <f t="shared" si="89"/>
        <v>4.4811320754716979</v>
      </c>
      <c r="DY36" s="22">
        <f t="shared" si="90"/>
        <v>10.377358490566039</v>
      </c>
      <c r="DZ36" s="19">
        <f t="shared" si="91"/>
        <v>0.70306884940634207</v>
      </c>
      <c r="EA36" s="23"/>
      <c r="EB36" s="19">
        <f t="shared" si="92"/>
        <v>2.3157894736842106</v>
      </c>
      <c r="EC36" s="19"/>
      <c r="ED36" s="19"/>
      <c r="EE36" s="19">
        <f t="shared" si="93"/>
        <v>53.822451469913347</v>
      </c>
      <c r="EF36" s="19">
        <f t="shared" si="94"/>
        <v>1.0151189275268528</v>
      </c>
      <c r="EG36" s="19">
        <f t="shared" si="95"/>
        <v>12.37176192923352</v>
      </c>
      <c r="EH36" s="19">
        <f t="shared" si="96"/>
        <v>10.627237755656642</v>
      </c>
      <c r="EI36" s="19">
        <f t="shared" si="97"/>
        <v>0.16918648792114216</v>
      </c>
      <c r="EJ36" s="19">
        <f t="shared" si="98"/>
        <v>11.631571044578523</v>
      </c>
      <c r="EK36" s="19">
        <f t="shared" si="99"/>
        <v>2.643538873767846</v>
      </c>
      <c r="EL36" s="19">
        <f t="shared" si="100"/>
        <v>0.35952128683242707</v>
      </c>
      <c r="EM36" s="19">
        <f t="shared" si="101"/>
        <v>6.883775227291471</v>
      </c>
      <c r="EN36" s="19">
        <f t="shared" si="102"/>
        <v>0.47583699727821233</v>
      </c>
      <c r="EO36" s="19">
        <f t="shared" si="103"/>
        <v>99.999999999999972</v>
      </c>
    </row>
    <row r="37" spans="1:145" s="36" customFormat="1">
      <c r="A37" s="36" t="s">
        <v>163</v>
      </c>
      <c r="B37" s="36">
        <v>5</v>
      </c>
      <c r="C37" s="36" t="s">
        <v>163</v>
      </c>
      <c r="D37" s="36" t="s">
        <v>185</v>
      </c>
      <c r="E37" s="36" t="s">
        <v>63</v>
      </c>
      <c r="F37" s="74"/>
      <c r="G37" s="19">
        <v>46.3</v>
      </c>
      <c r="H37" s="19">
        <v>0.92</v>
      </c>
      <c r="I37" s="19">
        <v>10.9</v>
      </c>
      <c r="J37" s="19">
        <v>8.2932000000000006</v>
      </c>
      <c r="K37" s="19">
        <v>0.12</v>
      </c>
      <c r="L37" s="19">
        <v>14.7</v>
      </c>
      <c r="M37" s="19">
        <v>4.7</v>
      </c>
      <c r="N37" s="19">
        <v>0.24</v>
      </c>
      <c r="O37" s="19">
        <v>6.25</v>
      </c>
      <c r="P37" s="19">
        <v>0.41</v>
      </c>
      <c r="Q37" s="19">
        <v>5.7</v>
      </c>
      <c r="R37" s="19">
        <v>1.38</v>
      </c>
      <c r="S37" s="19">
        <f t="shared" ref="S37:S45" si="104">SUM(G37:R37)</f>
        <v>99.913200000000003</v>
      </c>
      <c r="U37" s="75"/>
      <c r="V37" s="75"/>
      <c r="W37" s="19"/>
      <c r="X37" s="19"/>
      <c r="Y37" s="19"/>
      <c r="Z37" s="19"/>
      <c r="AA37" s="19"/>
      <c r="AB37" s="19"/>
      <c r="AC37" s="19"/>
      <c r="AD37" s="19"/>
      <c r="AF37" s="19">
        <f t="shared" si="59"/>
        <v>0.79940175933391877</v>
      </c>
      <c r="AG37" s="20">
        <f t="shared" si="60"/>
        <v>5515.4000000000005</v>
      </c>
      <c r="AH37" s="20">
        <f t="shared" si="61"/>
        <v>51887.5</v>
      </c>
      <c r="AI37" s="20">
        <f t="shared" si="62"/>
        <v>1789.2399999999998</v>
      </c>
      <c r="AJ37" s="19">
        <f t="shared" si="63"/>
        <v>6.49</v>
      </c>
      <c r="AK37" s="19">
        <f t="shared" si="64"/>
        <v>26.041666666666668</v>
      </c>
      <c r="AL37" s="19">
        <f t="shared" si="65"/>
        <v>3.8399999999999997E-2</v>
      </c>
      <c r="AM37" s="19">
        <f t="shared" si="66"/>
        <v>0.43119266055045874</v>
      </c>
      <c r="AN37" s="19">
        <f t="shared" si="67"/>
        <v>0.57339449541284404</v>
      </c>
      <c r="AO37" s="19">
        <f t="shared" si="68"/>
        <v>0.65685075460390496</v>
      </c>
      <c r="AP37" s="19">
        <f t="shared" si="69"/>
        <v>1.5224158501622205</v>
      </c>
      <c r="AQ37" s="19">
        <f t="shared" si="70"/>
        <v>0.69405430371452337</v>
      </c>
      <c r="AR37" s="20">
        <f t="shared" si="71"/>
        <v>2351.775421542427</v>
      </c>
      <c r="AS37" s="20">
        <f t="shared" si="72"/>
        <v>1442.6802819731247</v>
      </c>
      <c r="AT37" s="20"/>
      <c r="AU37" s="19">
        <f t="shared" si="73"/>
        <v>0.1349892008639309</v>
      </c>
      <c r="AV37" s="19">
        <f t="shared" si="74"/>
        <v>0.62062954089483624</v>
      </c>
      <c r="AW37" s="19"/>
      <c r="AX37" s="20">
        <v>532</v>
      </c>
      <c r="AY37" s="20">
        <v>397</v>
      </c>
      <c r="AZ37" s="20">
        <v>598</v>
      </c>
      <c r="BA37" s="22"/>
      <c r="BB37" s="22"/>
      <c r="BC37" s="22">
        <v>174</v>
      </c>
      <c r="BD37" s="22">
        <v>923</v>
      </c>
      <c r="BE37" s="22">
        <v>39</v>
      </c>
      <c r="BF37" s="22">
        <v>158</v>
      </c>
      <c r="BG37" s="22">
        <v>36</v>
      </c>
      <c r="BH37" s="22">
        <v>99</v>
      </c>
      <c r="BI37" s="36">
        <v>42</v>
      </c>
      <c r="BJ37" s="20">
        <v>386</v>
      </c>
      <c r="BK37" s="20">
        <v>18</v>
      </c>
      <c r="BL37" s="22"/>
      <c r="BM37" s="22"/>
      <c r="BN37" s="20">
        <v>94</v>
      </c>
      <c r="BO37" s="20">
        <v>187</v>
      </c>
      <c r="BP37" s="20"/>
      <c r="BQ37" s="22"/>
      <c r="BR37" s="22"/>
      <c r="BS37" s="22"/>
      <c r="BT37" s="22"/>
      <c r="BU37" s="22"/>
      <c r="BV37" s="22"/>
      <c r="BW37" s="19"/>
      <c r="BX37" s="19"/>
      <c r="BY37" s="19"/>
      <c r="BZ37" s="22"/>
      <c r="CA37" s="19"/>
      <c r="CB37" s="20">
        <v>24</v>
      </c>
      <c r="CC37" s="20">
        <v>39</v>
      </c>
      <c r="CD37" s="22"/>
      <c r="CE37" s="22">
        <v>16</v>
      </c>
      <c r="CG37" s="22">
        <f t="shared" si="75"/>
        <v>388.42975206611573</v>
      </c>
      <c r="CH37" s="22">
        <f t="shared" si="76"/>
        <v>294.48818897637796</v>
      </c>
      <c r="CI37" s="22"/>
      <c r="CJ37" s="22"/>
      <c r="CK37" s="22"/>
      <c r="CL37" s="22"/>
      <c r="CM37" s="22"/>
      <c r="CN37" s="22"/>
      <c r="CO37" s="22"/>
      <c r="CP37" s="22"/>
      <c r="CQ37" s="22"/>
      <c r="CR37" s="22"/>
      <c r="CS37" s="22"/>
      <c r="CT37" s="22"/>
      <c r="CU37" s="22">
        <f t="shared" si="77"/>
        <v>33.222222222222221</v>
      </c>
      <c r="CV37" s="22">
        <f t="shared" si="78"/>
        <v>6.3617021276595747</v>
      </c>
      <c r="CW37" s="22">
        <f t="shared" si="79"/>
        <v>5.2222222222222223</v>
      </c>
      <c r="CX37" s="20">
        <f t="shared" si="80"/>
        <v>306.41111111111115</v>
      </c>
      <c r="CY37" s="22">
        <f t="shared" si="81"/>
        <v>7.791666666666667</v>
      </c>
      <c r="CZ37" s="22"/>
      <c r="DA37" s="22"/>
      <c r="DB37" s="22">
        <f t="shared" si="82"/>
        <v>21.444444444444443</v>
      </c>
      <c r="DC37" s="22">
        <f t="shared" si="83"/>
        <v>15.333333333333334</v>
      </c>
      <c r="DD37" s="22"/>
      <c r="DE37" s="22"/>
      <c r="DF37" s="22"/>
      <c r="DG37" s="19">
        <f t="shared" si="84"/>
        <v>0.42857142857142855</v>
      </c>
      <c r="DH37" s="20">
        <f t="shared" si="85"/>
        <v>551.99468085106378</v>
      </c>
      <c r="DI37" s="19"/>
      <c r="DJ37" s="22"/>
      <c r="DK37" s="22"/>
      <c r="DL37" s="22"/>
      <c r="DM37" s="22"/>
      <c r="DN37" s="76"/>
      <c r="DO37" s="22"/>
      <c r="DP37" s="20"/>
      <c r="DQ37" s="22"/>
      <c r="DR37" s="22"/>
      <c r="DS37" s="19"/>
      <c r="DT37" s="23">
        <f t="shared" si="86"/>
        <v>2.5188916876574307E-3</v>
      </c>
      <c r="DU37" s="22">
        <f t="shared" si="87"/>
        <v>9.1904761904761898</v>
      </c>
      <c r="DV37" s="22"/>
      <c r="DW37" s="22">
        <f t="shared" si="88"/>
        <v>-0.47758577270039515</v>
      </c>
      <c r="DX37" s="22">
        <f t="shared" si="89"/>
        <v>4.6632124352331603</v>
      </c>
      <c r="DY37" s="22">
        <f t="shared" si="90"/>
        <v>10.103626943005182</v>
      </c>
      <c r="DZ37" s="19">
        <f t="shared" si="91"/>
        <v>1.2752755406460108</v>
      </c>
      <c r="EA37" s="23"/>
      <c r="EB37" s="19">
        <f t="shared" si="92"/>
        <v>2.1666666666666665</v>
      </c>
      <c r="EC37" s="19"/>
      <c r="ED37" s="19"/>
      <c r="EE37" s="19">
        <f t="shared" si="93"/>
        <v>49.874398383336995</v>
      </c>
      <c r="EF37" s="19">
        <f t="shared" si="94"/>
        <v>0.99102476269265727</v>
      </c>
      <c r="EG37" s="19">
        <f t="shared" si="95"/>
        <v>11.741489036249961</v>
      </c>
      <c r="EH37" s="19">
        <f t="shared" si="96"/>
        <v>8.933441915176898</v>
      </c>
      <c r="EI37" s="19">
        <f t="shared" si="97"/>
        <v>0.12926409948165096</v>
      </c>
      <c r="EJ37" s="19">
        <f t="shared" si="98"/>
        <v>15.834852186502243</v>
      </c>
      <c r="EK37" s="19">
        <f t="shared" si="99"/>
        <v>5.0628438963646625</v>
      </c>
      <c r="EL37" s="19">
        <f t="shared" si="100"/>
        <v>0.25852819896330193</v>
      </c>
      <c r="EM37" s="19">
        <f t="shared" si="101"/>
        <v>6.7325051813359869</v>
      </c>
      <c r="EN37" s="19">
        <f t="shared" si="102"/>
        <v>0.44165233989564073</v>
      </c>
      <c r="EO37" s="19">
        <f t="shared" si="103"/>
        <v>100</v>
      </c>
    </row>
    <row r="38" spans="1:145" s="36" customFormat="1">
      <c r="A38" s="36" t="s">
        <v>163</v>
      </c>
      <c r="B38" s="36">
        <v>5</v>
      </c>
      <c r="C38" s="36" t="s">
        <v>163</v>
      </c>
      <c r="D38" s="36" t="s">
        <v>185</v>
      </c>
      <c r="E38" s="36" t="s">
        <v>63</v>
      </c>
      <c r="F38" s="74"/>
      <c r="G38" s="19">
        <v>43.5</v>
      </c>
      <c r="H38" s="19">
        <v>0.84</v>
      </c>
      <c r="I38" s="19">
        <v>9.6999999999999993</v>
      </c>
      <c r="J38" s="19">
        <v>7.7914000000000003</v>
      </c>
      <c r="K38" s="19">
        <v>0.12</v>
      </c>
      <c r="L38" s="19">
        <v>15.4</v>
      </c>
      <c r="M38" s="19">
        <v>7.5</v>
      </c>
      <c r="N38" s="19">
        <v>0.14000000000000001</v>
      </c>
      <c r="O38" s="19">
        <v>4.7300000000000004</v>
      </c>
      <c r="P38" s="19">
        <v>0.4</v>
      </c>
      <c r="Q38" s="19">
        <v>6.27</v>
      </c>
      <c r="R38" s="19">
        <v>3.44</v>
      </c>
      <c r="S38" s="19">
        <f t="shared" si="104"/>
        <v>99.831400000000016</v>
      </c>
      <c r="U38" s="75"/>
      <c r="V38" s="75"/>
      <c r="W38" s="19"/>
      <c r="X38" s="19"/>
      <c r="Y38" s="19"/>
      <c r="Z38" s="19"/>
      <c r="AA38" s="19"/>
      <c r="AB38" s="19"/>
      <c r="AC38" s="19"/>
      <c r="AD38" s="19"/>
      <c r="AF38" s="19">
        <f t="shared" si="59"/>
        <v>0.8163025426029159</v>
      </c>
      <c r="AG38" s="20">
        <f t="shared" si="60"/>
        <v>5035.8</v>
      </c>
      <c r="AH38" s="20">
        <f t="shared" si="61"/>
        <v>39268.460000000006</v>
      </c>
      <c r="AI38" s="20">
        <f t="shared" si="62"/>
        <v>1745.6000000000001</v>
      </c>
      <c r="AJ38" s="19">
        <f t="shared" si="63"/>
        <v>4.87</v>
      </c>
      <c r="AK38" s="19">
        <f t="shared" si="64"/>
        <v>33.785714285714285</v>
      </c>
      <c r="AL38" s="19">
        <f t="shared" si="65"/>
        <v>2.9598308668076109E-2</v>
      </c>
      <c r="AM38" s="19">
        <f t="shared" si="66"/>
        <v>0.77319587628865982</v>
      </c>
      <c r="AN38" s="19">
        <f t="shared" si="67"/>
        <v>0.48762886597938154</v>
      </c>
      <c r="AO38" s="19">
        <f t="shared" si="68"/>
        <v>0.55154166070995603</v>
      </c>
      <c r="AP38" s="19">
        <f t="shared" si="69"/>
        <v>1.8130996645163286</v>
      </c>
      <c r="AQ38" s="19">
        <f t="shared" si="70"/>
        <v>0.51090730670892248</v>
      </c>
      <c r="AR38" s="20">
        <f t="shared" si="71"/>
        <v>2441.5294879732082</v>
      </c>
      <c r="AS38" s="20">
        <f t="shared" si="72"/>
        <v>1843.9887132905549</v>
      </c>
      <c r="AT38" s="20"/>
      <c r="AU38" s="19">
        <f t="shared" si="73"/>
        <v>0.10873563218390805</v>
      </c>
      <c r="AV38" s="19">
        <f t="shared" si="74"/>
        <v>0.52779871735942396</v>
      </c>
      <c r="AW38" s="19"/>
      <c r="AX38" s="20">
        <v>451</v>
      </c>
      <c r="AY38" s="20">
        <v>388</v>
      </c>
      <c r="AZ38" s="20">
        <v>531</v>
      </c>
      <c r="BA38" s="22"/>
      <c r="BB38" s="22"/>
      <c r="BC38" s="22">
        <v>164</v>
      </c>
      <c r="BD38" s="22">
        <v>782</v>
      </c>
      <c r="BE38" s="22">
        <v>36</v>
      </c>
      <c r="BF38" s="22">
        <v>156</v>
      </c>
      <c r="BG38" s="22">
        <v>33</v>
      </c>
      <c r="BH38" s="22">
        <v>101</v>
      </c>
      <c r="BI38" s="36">
        <v>42</v>
      </c>
      <c r="BJ38" s="20">
        <v>379</v>
      </c>
      <c r="BK38" s="20">
        <v>16</v>
      </c>
      <c r="BL38" s="22"/>
      <c r="BM38" s="22"/>
      <c r="BN38" s="20">
        <v>90</v>
      </c>
      <c r="BO38" s="20">
        <v>171</v>
      </c>
      <c r="BP38" s="20"/>
      <c r="BQ38" s="22"/>
      <c r="BR38" s="22"/>
      <c r="BS38" s="22"/>
      <c r="BT38" s="22"/>
      <c r="BU38" s="22"/>
      <c r="BV38" s="22"/>
      <c r="BW38" s="19"/>
      <c r="BX38" s="19"/>
      <c r="BY38" s="19"/>
      <c r="BZ38" s="22"/>
      <c r="CA38" s="19"/>
      <c r="CB38" s="20">
        <v>27</v>
      </c>
      <c r="CC38" s="20">
        <v>41</v>
      </c>
      <c r="CD38" s="22"/>
      <c r="CE38" s="22">
        <v>12</v>
      </c>
      <c r="CG38" s="22">
        <f t="shared" si="75"/>
        <v>371.90082644628103</v>
      </c>
      <c r="CH38" s="22">
        <f t="shared" si="76"/>
        <v>269.29133858267716</v>
      </c>
      <c r="CI38" s="22"/>
      <c r="CJ38" s="22"/>
      <c r="CK38" s="22"/>
      <c r="CL38" s="22"/>
      <c r="CM38" s="22"/>
      <c r="CN38" s="22"/>
      <c r="CO38" s="22"/>
      <c r="CP38" s="22"/>
      <c r="CQ38" s="22"/>
      <c r="CR38" s="22"/>
      <c r="CS38" s="22"/>
      <c r="CT38" s="22"/>
      <c r="CU38" s="22">
        <f t="shared" si="77"/>
        <v>33.1875</v>
      </c>
      <c r="CV38" s="22">
        <f t="shared" si="78"/>
        <v>5.9</v>
      </c>
      <c r="CW38" s="22">
        <f t="shared" si="79"/>
        <v>5.625</v>
      </c>
      <c r="CX38" s="20">
        <f t="shared" si="80"/>
        <v>314.73750000000001</v>
      </c>
      <c r="CY38" s="22">
        <f t="shared" si="81"/>
        <v>6.333333333333333</v>
      </c>
      <c r="CZ38" s="22"/>
      <c r="DA38" s="22"/>
      <c r="DB38" s="22">
        <f t="shared" si="82"/>
        <v>23.6875</v>
      </c>
      <c r="DC38" s="22">
        <f t="shared" si="83"/>
        <v>12.951219512195122</v>
      </c>
      <c r="DD38" s="22"/>
      <c r="DE38" s="22"/>
      <c r="DF38" s="22"/>
      <c r="DG38" s="19">
        <f t="shared" si="84"/>
        <v>0.38095238095238093</v>
      </c>
      <c r="DH38" s="20">
        <f t="shared" si="85"/>
        <v>436.31622222222228</v>
      </c>
      <c r="DI38" s="19"/>
      <c r="DJ38" s="22"/>
      <c r="DK38" s="22"/>
      <c r="DL38" s="22"/>
      <c r="DM38" s="22"/>
      <c r="DN38" s="76"/>
      <c r="DO38" s="22"/>
      <c r="DP38" s="20"/>
      <c r="DQ38" s="22"/>
      <c r="DR38" s="22"/>
      <c r="DS38" s="19"/>
      <c r="DT38" s="23">
        <f t="shared" si="86"/>
        <v>2.5773195876288659E-3</v>
      </c>
      <c r="DU38" s="22">
        <f t="shared" si="87"/>
        <v>9.0238095238095237</v>
      </c>
      <c r="DV38" s="22"/>
      <c r="DW38" s="22">
        <f t="shared" si="88"/>
        <v>-0.51347795331670554</v>
      </c>
      <c r="DX38" s="22">
        <f t="shared" si="89"/>
        <v>4.2216358839050132</v>
      </c>
      <c r="DY38" s="22">
        <f t="shared" si="90"/>
        <v>10.817941952506596</v>
      </c>
      <c r="DZ38" s="19">
        <f t="shared" si="91"/>
        <v>2.1448731274943009</v>
      </c>
      <c r="EA38" s="23"/>
      <c r="EB38" s="19">
        <f t="shared" si="92"/>
        <v>2.5625</v>
      </c>
      <c r="EC38" s="19"/>
      <c r="ED38" s="19"/>
      <c r="EE38" s="19">
        <f t="shared" si="93"/>
        <v>48.268224861131749</v>
      </c>
      <c r="EF38" s="19">
        <f t="shared" si="94"/>
        <v>0.93207606628392348</v>
      </c>
      <c r="EG38" s="19">
        <f t="shared" si="95"/>
        <v>10.763259336850068</v>
      </c>
      <c r="EH38" s="19">
        <f t="shared" si="96"/>
        <v>8.6454493605292395</v>
      </c>
      <c r="EI38" s="19">
        <f t="shared" si="97"/>
        <v>0.13315372375484621</v>
      </c>
      <c r="EJ38" s="19">
        <f t="shared" si="98"/>
        <v>17.088061215205265</v>
      </c>
      <c r="EK38" s="19">
        <f t="shared" si="99"/>
        <v>8.3221077346778873</v>
      </c>
      <c r="EL38" s="19">
        <f t="shared" si="100"/>
        <v>0.1553460110473206</v>
      </c>
      <c r="EM38" s="19">
        <f t="shared" si="101"/>
        <v>5.2484759446701883</v>
      </c>
      <c r="EN38" s="19">
        <f t="shared" si="102"/>
        <v>0.44384574584948738</v>
      </c>
      <c r="EO38" s="19">
        <f t="shared" si="103"/>
        <v>99.999999999999957</v>
      </c>
    </row>
    <row r="39" spans="1:145" s="36" customFormat="1">
      <c r="A39" s="36" t="s">
        <v>163</v>
      </c>
      <c r="B39" s="36">
        <v>5</v>
      </c>
      <c r="C39" s="36" t="s">
        <v>163</v>
      </c>
      <c r="D39" s="36" t="s">
        <v>185</v>
      </c>
      <c r="E39" s="36" t="s">
        <v>63</v>
      </c>
      <c r="F39" s="74"/>
      <c r="G39" s="19">
        <v>46.7</v>
      </c>
      <c r="H39" s="19">
        <v>0.86</v>
      </c>
      <c r="I39" s="19">
        <v>11.5</v>
      </c>
      <c r="J39" s="19">
        <v>7.9016999999999999</v>
      </c>
      <c r="K39" s="19">
        <v>0.14000000000000001</v>
      </c>
      <c r="L39" s="19">
        <v>13.5</v>
      </c>
      <c r="M39" s="19">
        <v>5.0999999999999996</v>
      </c>
      <c r="N39" s="19">
        <v>0.2</v>
      </c>
      <c r="O39" s="19">
        <v>6.38</v>
      </c>
      <c r="P39" s="19">
        <v>0.37</v>
      </c>
      <c r="Q39" s="19">
        <v>6.01</v>
      </c>
      <c r="R39" s="19">
        <v>1.29</v>
      </c>
      <c r="S39" s="19">
        <f t="shared" si="104"/>
        <v>99.951700000000017</v>
      </c>
      <c r="U39" s="75"/>
      <c r="V39" s="75"/>
      <c r="W39" s="19"/>
      <c r="X39" s="19"/>
      <c r="Y39" s="19"/>
      <c r="Z39" s="19"/>
      <c r="AA39" s="19"/>
      <c r="AB39" s="19"/>
      <c r="AC39" s="19"/>
      <c r="AD39" s="19"/>
      <c r="AF39" s="19">
        <f t="shared" si="59"/>
        <v>0.79343552792924854</v>
      </c>
      <c r="AG39" s="20">
        <f t="shared" si="60"/>
        <v>5155.7</v>
      </c>
      <c r="AH39" s="20">
        <f t="shared" si="61"/>
        <v>52966.76</v>
      </c>
      <c r="AI39" s="20">
        <f t="shared" si="62"/>
        <v>1614.68</v>
      </c>
      <c r="AJ39" s="19">
        <f t="shared" si="63"/>
        <v>6.58</v>
      </c>
      <c r="AK39" s="19">
        <f t="shared" si="64"/>
        <v>31.9</v>
      </c>
      <c r="AL39" s="19">
        <f t="shared" si="65"/>
        <v>3.1347962382445145E-2</v>
      </c>
      <c r="AM39" s="19">
        <f t="shared" si="66"/>
        <v>0.44347826086956521</v>
      </c>
      <c r="AN39" s="19">
        <f t="shared" si="67"/>
        <v>0.55478260869565221</v>
      </c>
      <c r="AO39" s="19">
        <f t="shared" si="68"/>
        <v>0.62909395505415344</v>
      </c>
      <c r="AP39" s="19">
        <f t="shared" si="69"/>
        <v>1.5895876791788888</v>
      </c>
      <c r="AQ39" s="19">
        <f t="shared" si="70"/>
        <v>0.69667510644668762</v>
      </c>
      <c r="AR39" s="20">
        <f t="shared" si="71"/>
        <v>2383.3171196254743</v>
      </c>
      <c r="AS39" s="20">
        <f t="shared" si="72"/>
        <v>1433.7714127275742</v>
      </c>
      <c r="AT39" s="20"/>
      <c r="AU39" s="19">
        <f t="shared" si="73"/>
        <v>0.13661670235546036</v>
      </c>
      <c r="AV39" s="19">
        <f t="shared" si="74"/>
        <v>0.6004844456752515</v>
      </c>
      <c r="AW39" s="19"/>
      <c r="AX39" s="20">
        <v>471</v>
      </c>
      <c r="AY39" s="20">
        <v>515</v>
      </c>
      <c r="AZ39" s="20">
        <v>671</v>
      </c>
      <c r="BA39" s="22"/>
      <c r="BB39" s="22"/>
      <c r="BC39" s="22">
        <v>177</v>
      </c>
      <c r="BD39" s="22">
        <v>865</v>
      </c>
      <c r="BE39" s="22">
        <v>47</v>
      </c>
      <c r="BF39" s="22">
        <v>157</v>
      </c>
      <c r="BG39" s="22">
        <v>34</v>
      </c>
      <c r="BH39" s="22">
        <v>102</v>
      </c>
      <c r="BI39" s="36">
        <v>40</v>
      </c>
      <c r="BJ39" s="20">
        <v>370</v>
      </c>
      <c r="BK39" s="20">
        <v>17</v>
      </c>
      <c r="BL39" s="22"/>
      <c r="BM39" s="22"/>
      <c r="BN39" s="20">
        <v>91</v>
      </c>
      <c r="BO39" s="20">
        <v>186</v>
      </c>
      <c r="BP39" s="20"/>
      <c r="BQ39" s="22"/>
      <c r="BR39" s="22"/>
      <c r="BS39" s="22"/>
      <c r="BT39" s="22"/>
      <c r="BU39" s="22"/>
      <c r="BV39" s="22"/>
      <c r="BW39" s="19"/>
      <c r="BX39" s="19"/>
      <c r="BY39" s="19"/>
      <c r="BZ39" s="22"/>
      <c r="CA39" s="19"/>
      <c r="CB39" s="20">
        <v>23</v>
      </c>
      <c r="CC39" s="20">
        <v>40</v>
      </c>
      <c r="CD39" s="22"/>
      <c r="CE39" s="22">
        <v>13</v>
      </c>
      <c r="CG39" s="22">
        <f t="shared" si="75"/>
        <v>376.03305785123968</v>
      </c>
      <c r="CH39" s="22">
        <f t="shared" si="76"/>
        <v>292.91338582677167</v>
      </c>
      <c r="CI39" s="22"/>
      <c r="CJ39" s="22"/>
      <c r="CK39" s="22"/>
      <c r="CL39" s="22"/>
      <c r="CM39" s="22"/>
      <c r="CN39" s="22"/>
      <c r="CO39" s="22"/>
      <c r="CP39" s="22"/>
      <c r="CQ39" s="22"/>
      <c r="CR39" s="22"/>
      <c r="CS39" s="22"/>
      <c r="CT39" s="22"/>
      <c r="CU39" s="22">
        <f t="shared" si="77"/>
        <v>39.470588235294116</v>
      </c>
      <c r="CV39" s="22">
        <f t="shared" si="78"/>
        <v>7.3736263736263732</v>
      </c>
      <c r="CW39" s="22">
        <f t="shared" si="79"/>
        <v>5.3529411764705879</v>
      </c>
      <c r="CX39" s="20">
        <f t="shared" si="80"/>
        <v>303.27647058823527</v>
      </c>
      <c r="CY39" s="22">
        <f t="shared" si="81"/>
        <v>8.0869565217391308</v>
      </c>
      <c r="CZ39" s="22"/>
      <c r="DA39" s="22"/>
      <c r="DB39" s="22">
        <f t="shared" si="82"/>
        <v>21.764705882352942</v>
      </c>
      <c r="DC39" s="22">
        <f t="shared" si="83"/>
        <v>16.774999999999999</v>
      </c>
      <c r="DD39" s="22"/>
      <c r="DE39" s="22"/>
      <c r="DF39" s="22"/>
      <c r="DG39" s="19">
        <f t="shared" si="84"/>
        <v>0.42499999999999999</v>
      </c>
      <c r="DH39" s="20">
        <f t="shared" si="85"/>
        <v>582.05230769230775</v>
      </c>
      <c r="DI39" s="19"/>
      <c r="DJ39" s="22"/>
      <c r="DK39" s="22"/>
      <c r="DL39" s="22"/>
      <c r="DM39" s="22"/>
      <c r="DN39" s="76"/>
      <c r="DO39" s="22"/>
      <c r="DP39" s="20"/>
      <c r="DQ39" s="22"/>
      <c r="DR39" s="22"/>
      <c r="DS39" s="19"/>
      <c r="DT39" s="23">
        <f t="shared" si="86"/>
        <v>1.9417475728155339E-3</v>
      </c>
      <c r="DU39" s="22">
        <f t="shared" si="87"/>
        <v>9.25</v>
      </c>
      <c r="DV39" s="22"/>
      <c r="DW39" s="22">
        <f t="shared" si="88"/>
        <v>-0.48660319680863084</v>
      </c>
      <c r="DX39" s="22">
        <f t="shared" si="89"/>
        <v>4.5945945945945947</v>
      </c>
      <c r="DY39" s="22">
        <f t="shared" si="90"/>
        <v>10.810810810810811</v>
      </c>
      <c r="DZ39" s="19">
        <f t="shared" si="91"/>
        <v>1.0688322633431682</v>
      </c>
      <c r="EA39" s="23"/>
      <c r="EB39" s="19">
        <f t="shared" si="92"/>
        <v>2.3529411764705883</v>
      </c>
      <c r="EC39" s="19"/>
      <c r="ED39" s="19"/>
      <c r="EE39" s="19">
        <f t="shared" si="93"/>
        <v>50.403824214774254</v>
      </c>
      <c r="EF39" s="19">
        <f t="shared" si="94"/>
        <v>0.92820746947978283</v>
      </c>
      <c r="EG39" s="19">
        <f t="shared" si="95"/>
        <v>12.412076626764538</v>
      </c>
      <c r="EH39" s="19">
        <f t="shared" si="96"/>
        <v>8.5283918158004646</v>
      </c>
      <c r="EI39" s="19">
        <f t="shared" si="97"/>
        <v>0.15110354154322048</v>
      </c>
      <c r="EJ39" s="19">
        <f t="shared" si="98"/>
        <v>14.570698648810545</v>
      </c>
      <c r="EK39" s="19">
        <f t="shared" si="99"/>
        <v>5.5044861562173164</v>
      </c>
      <c r="EL39" s="19">
        <f t="shared" si="100"/>
        <v>0.21586220220460065</v>
      </c>
      <c r="EM39" s="19">
        <f t="shared" si="101"/>
        <v>6.8860042503267609</v>
      </c>
      <c r="EN39" s="19">
        <f t="shared" si="102"/>
        <v>0.39934507407851122</v>
      </c>
      <c r="EO39" s="19">
        <f t="shared" si="103"/>
        <v>100</v>
      </c>
    </row>
    <row r="40" spans="1:145" s="36" customFormat="1">
      <c r="A40" s="36" t="s">
        <v>163</v>
      </c>
      <c r="B40" s="36">
        <v>5</v>
      </c>
      <c r="C40" s="36" t="s">
        <v>163</v>
      </c>
      <c r="D40" s="36" t="s">
        <v>185</v>
      </c>
      <c r="E40" s="36" t="s">
        <v>63</v>
      </c>
      <c r="F40" s="74"/>
      <c r="G40" s="19">
        <v>40.700000000000003</v>
      </c>
      <c r="H40" s="19">
        <v>0.8</v>
      </c>
      <c r="I40" s="19">
        <v>10</v>
      </c>
      <c r="J40" s="19">
        <v>7.4736000000000002</v>
      </c>
      <c r="K40" s="19">
        <v>0.9</v>
      </c>
      <c r="L40" s="19">
        <v>13.6</v>
      </c>
      <c r="M40" s="19">
        <v>10.4</v>
      </c>
      <c r="N40" s="19">
        <v>0.39</v>
      </c>
      <c r="O40" s="19">
        <v>6.08</v>
      </c>
      <c r="P40" s="19">
        <v>0.41</v>
      </c>
      <c r="Q40" s="19">
        <v>4.3600000000000003</v>
      </c>
      <c r="R40" s="19">
        <v>4.68</v>
      </c>
      <c r="S40" s="19">
        <f t="shared" si="104"/>
        <v>99.793599999999998</v>
      </c>
      <c r="U40" s="75"/>
      <c r="V40" s="75"/>
      <c r="W40" s="19"/>
      <c r="X40" s="19"/>
      <c r="Y40" s="19"/>
      <c r="Z40" s="19"/>
      <c r="AA40" s="19"/>
      <c r="AB40" s="19"/>
      <c r="AC40" s="19"/>
      <c r="AD40" s="19"/>
      <c r="AF40" s="19">
        <f t="shared" si="59"/>
        <v>0.80358306382348499</v>
      </c>
      <c r="AG40" s="20">
        <f t="shared" si="60"/>
        <v>4796</v>
      </c>
      <c r="AH40" s="20">
        <f t="shared" si="61"/>
        <v>50476.160000000003</v>
      </c>
      <c r="AI40" s="20">
        <f t="shared" si="62"/>
        <v>1789.2399999999998</v>
      </c>
      <c r="AJ40" s="19">
        <f t="shared" si="63"/>
        <v>6.47</v>
      </c>
      <c r="AK40" s="19">
        <f t="shared" si="64"/>
        <v>15.589743589743589</v>
      </c>
      <c r="AL40" s="19">
        <f t="shared" si="65"/>
        <v>6.4144736842105268E-2</v>
      </c>
      <c r="AM40" s="19">
        <f t="shared" si="66"/>
        <v>1.04</v>
      </c>
      <c r="AN40" s="19">
        <f t="shared" si="67"/>
        <v>0.60799999999999998</v>
      </c>
      <c r="AO40" s="19">
        <f t="shared" si="68"/>
        <v>0.72224259972910931</v>
      </c>
      <c r="AP40" s="19">
        <f t="shared" si="69"/>
        <v>1.3845763187813469</v>
      </c>
      <c r="AQ40" s="19">
        <f t="shared" si="70"/>
        <v>0.38268953566071856</v>
      </c>
      <c r="AR40" s="20">
        <f t="shared" si="71"/>
        <v>2002.0052346689283</v>
      </c>
      <c r="AS40" s="20">
        <f t="shared" si="72"/>
        <v>2077.8369024927156</v>
      </c>
      <c r="AT40" s="20"/>
      <c r="AU40" s="19">
        <f t="shared" si="73"/>
        <v>0.14938574938574939</v>
      </c>
      <c r="AV40" s="19">
        <f t="shared" si="74"/>
        <v>0.65808577494692144</v>
      </c>
      <c r="AW40" s="19"/>
      <c r="AX40" s="20">
        <v>584</v>
      </c>
      <c r="AY40" s="20">
        <v>549</v>
      </c>
      <c r="AZ40" s="20">
        <v>614</v>
      </c>
      <c r="BA40" s="22"/>
      <c r="BB40" s="22">
        <v>22</v>
      </c>
      <c r="BC40" s="22">
        <v>143</v>
      </c>
      <c r="BD40" s="22">
        <v>812</v>
      </c>
      <c r="BE40" s="22">
        <v>43</v>
      </c>
      <c r="BF40" s="22">
        <v>142</v>
      </c>
      <c r="BG40" s="22">
        <v>35</v>
      </c>
      <c r="BH40" s="22">
        <v>92</v>
      </c>
      <c r="BI40" s="36">
        <v>38</v>
      </c>
      <c r="BJ40" s="20">
        <v>331</v>
      </c>
      <c r="BK40" s="20">
        <v>13</v>
      </c>
      <c r="BL40" s="22"/>
      <c r="BM40" s="22"/>
      <c r="BN40" s="20">
        <v>66.400000000000006</v>
      </c>
      <c r="BO40" s="20">
        <v>149</v>
      </c>
      <c r="BP40" s="20">
        <v>17.5</v>
      </c>
      <c r="BQ40" s="22">
        <v>72.5</v>
      </c>
      <c r="BR40" s="22">
        <v>14.7</v>
      </c>
      <c r="BS40" s="22">
        <v>2.83</v>
      </c>
      <c r="BT40" s="22">
        <v>11.7</v>
      </c>
      <c r="BU40" s="22">
        <v>1.35</v>
      </c>
      <c r="BV40" s="22">
        <v>6.51</v>
      </c>
      <c r="BW40" s="19">
        <v>1.05</v>
      </c>
      <c r="BX40" s="19">
        <v>2.96</v>
      </c>
      <c r="BY40" s="19">
        <v>0.27</v>
      </c>
      <c r="BZ40" s="22">
        <v>1.87</v>
      </c>
      <c r="CA40" s="19">
        <v>0.33</v>
      </c>
      <c r="CB40" s="20">
        <v>26</v>
      </c>
      <c r="CC40" s="20">
        <v>34</v>
      </c>
      <c r="CD40" s="22"/>
      <c r="CE40" s="22">
        <v>15</v>
      </c>
      <c r="CG40" s="22">
        <f t="shared" si="75"/>
        <v>274.38016528925624</v>
      </c>
      <c r="CH40" s="22">
        <f t="shared" si="76"/>
        <v>234.64566929133858</v>
      </c>
      <c r="CI40" s="22">
        <f>BP40/0.0963</f>
        <v>181.72377985462097</v>
      </c>
      <c r="CJ40" s="22">
        <f>BQ40/0.48</f>
        <v>151.04166666666669</v>
      </c>
      <c r="CK40" s="22">
        <f>BR40/0.156</f>
        <v>94.230769230769226</v>
      </c>
      <c r="CL40" s="22">
        <f>BS40/0.0591</f>
        <v>47.884940778341793</v>
      </c>
      <c r="CM40" s="22">
        <f>BT40/0.212</f>
        <v>55.188679245283019</v>
      </c>
      <c r="CN40" s="22">
        <f>BU40/0.0376</f>
        <v>35.904255319148938</v>
      </c>
      <c r="CO40" s="22">
        <f>BV40/0.259</f>
        <v>25.135135135135133</v>
      </c>
      <c r="CP40" s="22">
        <f>BW40/0.0585</f>
        <v>17.948717948717949</v>
      </c>
      <c r="CQ40" s="22">
        <f>BX40/0.163</f>
        <v>18.159509202453986</v>
      </c>
      <c r="CR40" s="22">
        <f>BY40/0.0256</f>
        <v>10.546875</v>
      </c>
      <c r="CS40" s="22">
        <f>BZ40/0.166</f>
        <v>11.265060240963855</v>
      </c>
      <c r="CT40" s="22">
        <f>CA40/0.024</f>
        <v>13.75</v>
      </c>
      <c r="CU40" s="22">
        <f t="shared" si="77"/>
        <v>47.230769230769234</v>
      </c>
      <c r="CV40" s="22">
        <f t="shared" si="78"/>
        <v>9.2469879518072275</v>
      </c>
      <c r="CW40" s="22">
        <f t="shared" si="79"/>
        <v>5.1076923076923082</v>
      </c>
      <c r="CX40" s="20">
        <f t="shared" si="80"/>
        <v>368.92307692307691</v>
      </c>
      <c r="CY40" s="22">
        <f t="shared" si="81"/>
        <v>5.7307692307692308</v>
      </c>
      <c r="CZ40" s="22"/>
      <c r="DA40" s="22">
        <f>AX40/BR40</f>
        <v>39.72789115646259</v>
      </c>
      <c r="DB40" s="22">
        <f t="shared" si="82"/>
        <v>25.46153846153846</v>
      </c>
      <c r="DC40" s="22">
        <f t="shared" si="83"/>
        <v>18.058823529411764</v>
      </c>
      <c r="DD40" s="22"/>
      <c r="DE40" s="22"/>
      <c r="DF40" s="22">
        <f>CC40/BZ40</f>
        <v>18.18181818181818</v>
      </c>
      <c r="DG40" s="19">
        <f t="shared" si="84"/>
        <v>0.34210526315789475</v>
      </c>
      <c r="DH40" s="20">
        <f t="shared" si="85"/>
        <v>760.18313253012047</v>
      </c>
      <c r="DI40" s="19"/>
      <c r="DJ40" s="22">
        <f>BN40/CA40</f>
        <v>201.21212121212122</v>
      </c>
      <c r="DK40" s="22">
        <f>CG40/CT40</f>
        <v>19.954921111945907</v>
      </c>
      <c r="DL40" s="22">
        <f>CG40/CK40</f>
        <v>2.9117895091921073</v>
      </c>
      <c r="DM40" s="22">
        <f>BN40/BZ40</f>
        <v>35.508021390374331</v>
      </c>
      <c r="DN40" s="76"/>
      <c r="DO40" s="22">
        <f>BR40/BZ40</f>
        <v>7.8609625668449192</v>
      </c>
      <c r="DP40" s="20">
        <f>AY40/BZ40</f>
        <v>293.58288770053474</v>
      </c>
      <c r="DQ40" s="22">
        <f>AY40/BQ40</f>
        <v>7.5724137931034479</v>
      </c>
      <c r="DR40" s="22">
        <f>AY40/(((BR40/0.195)*(BT40/0.259))^0.5)</f>
        <v>9.4077969183620702</v>
      </c>
      <c r="DS40" s="19">
        <f>(BS40/0.074)/(((BR40/0.195)*(BT40/0.259))^0.5)</f>
        <v>0.65534547528589238</v>
      </c>
      <c r="DT40" s="23">
        <f t="shared" si="86"/>
        <v>1.8214936247723133E-3</v>
      </c>
      <c r="DU40" s="22">
        <f t="shared" si="87"/>
        <v>8.7105263157894743</v>
      </c>
      <c r="DV40" s="22"/>
      <c r="DW40" s="22">
        <f t="shared" si="88"/>
        <v>-0.53072548685507792</v>
      </c>
      <c r="DX40" s="22">
        <f t="shared" si="89"/>
        <v>3.9274924471299095</v>
      </c>
      <c r="DY40" s="22">
        <f t="shared" si="90"/>
        <v>10.271903323262841</v>
      </c>
      <c r="DZ40" s="19">
        <f t="shared" si="91"/>
        <v>2.0873589254456086</v>
      </c>
      <c r="EA40" s="23"/>
      <c r="EB40" s="19">
        <f t="shared" si="92"/>
        <v>2.6153846153846154</v>
      </c>
      <c r="EC40" s="19">
        <f>(CB40/0.144)/(CH40*CI40)^(1/2)</f>
        <v>0.87437695634524737</v>
      </c>
      <c r="ED40" s="19"/>
      <c r="EE40" s="19">
        <f t="shared" si="93"/>
        <v>44.846705805609922</v>
      </c>
      <c r="EF40" s="19">
        <f t="shared" si="94"/>
        <v>0.88150773082279943</v>
      </c>
      <c r="EG40" s="19">
        <f t="shared" si="95"/>
        <v>11.018846635284993</v>
      </c>
      <c r="EH40" s="19">
        <f t="shared" si="96"/>
        <v>8.2350452213465921</v>
      </c>
      <c r="EI40" s="19">
        <f t="shared" si="97"/>
        <v>0.99169619717564927</v>
      </c>
      <c r="EJ40" s="19">
        <f t="shared" si="98"/>
        <v>14.98563142398759</v>
      </c>
      <c r="EK40" s="19">
        <f t="shared" si="99"/>
        <v>11.459600500696393</v>
      </c>
      <c r="EL40" s="19">
        <f t="shared" si="100"/>
        <v>0.4297350187761147</v>
      </c>
      <c r="EM40" s="19">
        <f t="shared" si="101"/>
        <v>6.6994587542532757</v>
      </c>
      <c r="EN40" s="19">
        <f t="shared" si="102"/>
        <v>0.45177271204668468</v>
      </c>
      <c r="EO40" s="19">
        <f t="shared" si="103"/>
        <v>100.00000000000001</v>
      </c>
    </row>
    <row r="41" spans="1:145" s="36" customFormat="1">
      <c r="A41" s="36" t="s">
        <v>163</v>
      </c>
      <c r="B41" s="36">
        <v>5</v>
      </c>
      <c r="C41" s="36" t="s">
        <v>163</v>
      </c>
      <c r="D41" s="36" t="s">
        <v>185</v>
      </c>
      <c r="E41" s="36" t="s">
        <v>63</v>
      </c>
      <c r="F41" s="74"/>
      <c r="G41" s="19">
        <v>46</v>
      </c>
      <c r="H41" s="19">
        <v>0.83</v>
      </c>
      <c r="I41" s="19">
        <v>10.7</v>
      </c>
      <c r="J41" s="19">
        <v>7.5986000000000002</v>
      </c>
      <c r="K41" s="19">
        <v>0.13</v>
      </c>
      <c r="L41" s="19">
        <v>15.5</v>
      </c>
      <c r="M41" s="19">
        <v>5.5</v>
      </c>
      <c r="N41" s="19">
        <v>0.18</v>
      </c>
      <c r="O41" s="19">
        <v>5.67</v>
      </c>
      <c r="P41" s="19">
        <v>0.36</v>
      </c>
      <c r="Q41" s="19">
        <v>5.47</v>
      </c>
      <c r="R41" s="19">
        <v>1.96</v>
      </c>
      <c r="S41" s="19">
        <f t="shared" si="104"/>
        <v>99.898600000000002</v>
      </c>
      <c r="U41" s="75"/>
      <c r="V41" s="75"/>
      <c r="W41" s="19"/>
      <c r="X41" s="19"/>
      <c r="Y41" s="19"/>
      <c r="Z41" s="19"/>
      <c r="AA41" s="19"/>
      <c r="AB41" s="19"/>
      <c r="AC41" s="19"/>
      <c r="AD41" s="19"/>
      <c r="AF41" s="19">
        <f t="shared" si="59"/>
        <v>0.8209833416789688</v>
      </c>
      <c r="AG41" s="20">
        <f t="shared" si="60"/>
        <v>4975.8499999999995</v>
      </c>
      <c r="AH41" s="20">
        <f t="shared" si="61"/>
        <v>47072.34</v>
      </c>
      <c r="AI41" s="20">
        <f t="shared" si="62"/>
        <v>1571.04</v>
      </c>
      <c r="AJ41" s="19">
        <f t="shared" si="63"/>
        <v>5.85</v>
      </c>
      <c r="AK41" s="19">
        <f t="shared" si="64"/>
        <v>31.5</v>
      </c>
      <c r="AL41" s="19">
        <f t="shared" si="65"/>
        <v>3.1746031746031744E-2</v>
      </c>
      <c r="AM41" s="19">
        <f t="shared" si="66"/>
        <v>0.51401869158878499</v>
      </c>
      <c r="AN41" s="19">
        <f t="shared" si="67"/>
        <v>0.52990654205607479</v>
      </c>
      <c r="AO41" s="19">
        <f t="shared" si="68"/>
        <v>0.60123282473078554</v>
      </c>
      <c r="AP41" s="19">
        <f t="shared" si="69"/>
        <v>1.6632491754716998</v>
      </c>
      <c r="AQ41" s="19">
        <f t="shared" si="70"/>
        <v>0.65113538024078388</v>
      </c>
      <c r="AR41" s="20">
        <f t="shared" si="71"/>
        <v>2436.0538205450234</v>
      </c>
      <c r="AS41" s="20">
        <f t="shared" si="72"/>
        <v>1581.7466281928687</v>
      </c>
      <c r="AT41" s="20"/>
      <c r="AU41" s="19">
        <f t="shared" si="73"/>
        <v>0.1232608695652174</v>
      </c>
      <c r="AV41" s="19">
        <f t="shared" si="74"/>
        <v>0.57355914042502532</v>
      </c>
      <c r="AW41" s="19"/>
      <c r="AX41" s="20">
        <v>455</v>
      </c>
      <c r="AY41" s="20">
        <v>460</v>
      </c>
      <c r="AZ41" s="20">
        <v>653</v>
      </c>
      <c r="BA41" s="22"/>
      <c r="BB41" s="22"/>
      <c r="BC41" s="22">
        <v>162</v>
      </c>
      <c r="BD41" s="22">
        <v>804</v>
      </c>
      <c r="BE41" s="22">
        <v>39</v>
      </c>
      <c r="BF41" s="22">
        <v>152</v>
      </c>
      <c r="BG41" s="22">
        <v>30</v>
      </c>
      <c r="BH41" s="22">
        <v>99</v>
      </c>
      <c r="BI41" s="36">
        <v>40</v>
      </c>
      <c r="BJ41" s="20">
        <v>350</v>
      </c>
      <c r="BK41" s="20">
        <v>16</v>
      </c>
      <c r="BL41" s="22"/>
      <c r="BM41" s="22"/>
      <c r="BN41" s="20">
        <v>84</v>
      </c>
      <c r="BO41" s="20">
        <v>184</v>
      </c>
      <c r="BP41" s="20"/>
      <c r="BQ41" s="22"/>
      <c r="BR41" s="22"/>
      <c r="BS41" s="22"/>
      <c r="BT41" s="22"/>
      <c r="BU41" s="22"/>
      <c r="BV41" s="22"/>
      <c r="BW41" s="19"/>
      <c r="BX41" s="19"/>
      <c r="BY41" s="19"/>
      <c r="BZ41" s="22"/>
      <c r="CA41" s="19"/>
      <c r="CB41" s="20">
        <v>25</v>
      </c>
      <c r="CC41" s="20">
        <v>41</v>
      </c>
      <c r="CD41" s="22"/>
      <c r="CE41" s="22">
        <v>13</v>
      </c>
      <c r="CG41" s="22">
        <f t="shared" si="75"/>
        <v>347.10743801652893</v>
      </c>
      <c r="CH41" s="22">
        <f t="shared" si="76"/>
        <v>289.76377952755905</v>
      </c>
      <c r="CI41" s="22"/>
      <c r="CJ41" s="22"/>
      <c r="CK41" s="22"/>
      <c r="CL41" s="22"/>
      <c r="CM41" s="22"/>
      <c r="CN41" s="22"/>
      <c r="CO41" s="22"/>
      <c r="CP41" s="22"/>
      <c r="CQ41" s="22"/>
      <c r="CR41" s="22"/>
      <c r="CS41" s="22"/>
      <c r="CT41" s="22"/>
      <c r="CU41" s="22">
        <f t="shared" si="77"/>
        <v>40.8125</v>
      </c>
      <c r="CV41" s="22">
        <f t="shared" si="78"/>
        <v>7.7738095238095237</v>
      </c>
      <c r="CW41" s="22">
        <f t="shared" si="79"/>
        <v>5.25</v>
      </c>
      <c r="CX41" s="20">
        <f t="shared" si="80"/>
        <v>310.99062499999997</v>
      </c>
      <c r="CY41" s="22">
        <f t="shared" si="81"/>
        <v>7.36</v>
      </c>
      <c r="CZ41" s="22"/>
      <c r="DA41" s="22"/>
      <c r="DB41" s="22">
        <f t="shared" si="82"/>
        <v>21.875</v>
      </c>
      <c r="DC41" s="22">
        <f t="shared" si="83"/>
        <v>15.926829268292684</v>
      </c>
      <c r="DD41" s="22"/>
      <c r="DE41" s="22"/>
      <c r="DF41" s="22"/>
      <c r="DG41" s="19">
        <f t="shared" si="84"/>
        <v>0.4</v>
      </c>
      <c r="DH41" s="20">
        <f t="shared" si="85"/>
        <v>560.38499999999999</v>
      </c>
      <c r="DI41" s="19"/>
      <c r="DJ41" s="22"/>
      <c r="DK41" s="22"/>
      <c r="DL41" s="22"/>
      <c r="DM41" s="22"/>
      <c r="DN41" s="76"/>
      <c r="DO41" s="22"/>
      <c r="DP41" s="20"/>
      <c r="DQ41" s="22"/>
      <c r="DR41" s="22"/>
      <c r="DS41" s="19"/>
      <c r="DT41" s="23">
        <f t="shared" si="86"/>
        <v>2.1739130434782609E-3</v>
      </c>
      <c r="DU41" s="22">
        <f t="shared" si="87"/>
        <v>8.75</v>
      </c>
      <c r="DV41" s="22"/>
      <c r="DW41" s="22">
        <f t="shared" si="88"/>
        <v>-0.46659547047487915</v>
      </c>
      <c r="DX41" s="22">
        <f t="shared" si="89"/>
        <v>4.5714285714285712</v>
      </c>
      <c r="DY41" s="22">
        <f t="shared" si="90"/>
        <v>11.714285714285714</v>
      </c>
      <c r="DZ41" s="19">
        <f t="shared" si="91"/>
        <v>1.2930358780310756</v>
      </c>
      <c r="EA41" s="23"/>
      <c r="EB41" s="19">
        <f t="shared" si="92"/>
        <v>2.5625</v>
      </c>
      <c r="EC41" s="19"/>
      <c r="ED41" s="19"/>
      <c r="EE41" s="19">
        <f t="shared" si="93"/>
        <v>49.746616689341025</v>
      </c>
      <c r="EF41" s="19">
        <f t="shared" si="94"/>
        <v>0.89760199678593589</v>
      </c>
      <c r="EG41" s="19">
        <f t="shared" si="95"/>
        <v>11.571495621216283</v>
      </c>
      <c r="EH41" s="19">
        <f t="shared" si="96"/>
        <v>8.2174922081657975</v>
      </c>
      <c r="EI41" s="19">
        <f t="shared" si="97"/>
        <v>0.14058826455683332</v>
      </c>
      <c r="EJ41" s="19">
        <f t="shared" si="98"/>
        <v>16.762446927930128</v>
      </c>
      <c r="EK41" s="19">
        <f t="shared" si="99"/>
        <v>5.9479650389429484</v>
      </c>
      <c r="EL41" s="19">
        <f t="shared" si="100"/>
        <v>0.19466067400176923</v>
      </c>
      <c r="EM41" s="19">
        <f t="shared" si="101"/>
        <v>6.1318112310557309</v>
      </c>
      <c r="EN41" s="19">
        <f t="shared" si="102"/>
        <v>0.38932134800353846</v>
      </c>
      <c r="EO41" s="19">
        <f t="shared" si="103"/>
        <v>100</v>
      </c>
    </row>
    <row r="42" spans="1:145" s="36" customFormat="1">
      <c r="A42" s="36" t="s">
        <v>163</v>
      </c>
      <c r="B42" s="36">
        <v>5</v>
      </c>
      <c r="C42" s="36" t="s">
        <v>211</v>
      </c>
      <c r="D42" s="36" t="s">
        <v>185</v>
      </c>
      <c r="E42" s="36" t="s">
        <v>63</v>
      </c>
      <c r="F42" s="74"/>
      <c r="G42" s="19">
        <v>49.1</v>
      </c>
      <c r="H42" s="19">
        <v>0.84</v>
      </c>
      <c r="I42" s="19">
        <v>13</v>
      </c>
      <c r="J42" s="19">
        <v>8.0484000000000009</v>
      </c>
      <c r="K42" s="19">
        <v>0.15</v>
      </c>
      <c r="L42" s="19">
        <v>12.2</v>
      </c>
      <c r="M42" s="19">
        <v>5.6</v>
      </c>
      <c r="N42" s="19">
        <v>0.36</v>
      </c>
      <c r="O42" s="19">
        <v>5.21</v>
      </c>
      <c r="P42" s="19">
        <v>0.36</v>
      </c>
      <c r="Q42" s="19">
        <v>4.97</v>
      </c>
      <c r="R42" s="19"/>
      <c r="S42" s="19">
        <f t="shared" si="104"/>
        <v>99.838400000000007</v>
      </c>
      <c r="U42" s="75"/>
      <c r="V42" s="75"/>
      <c r="W42" s="19"/>
      <c r="X42" s="19"/>
      <c r="Y42" s="19"/>
      <c r="Z42" s="19"/>
      <c r="AA42" s="19"/>
      <c r="AB42" s="19"/>
      <c r="AC42" s="19"/>
      <c r="AD42" s="19"/>
      <c r="AF42" s="19">
        <f t="shared" si="59"/>
        <v>0.77313711129189266</v>
      </c>
      <c r="AG42" s="20">
        <f t="shared" si="60"/>
        <v>5035.8</v>
      </c>
      <c r="AH42" s="20">
        <f>N42*8302</f>
        <v>2988.72</v>
      </c>
      <c r="AI42" s="20">
        <f>O42*4364</f>
        <v>22736.44</v>
      </c>
      <c r="AJ42" s="19">
        <f t="shared" si="63"/>
        <v>5.57</v>
      </c>
      <c r="AK42" s="19">
        <f t="shared" si="64"/>
        <v>14.472222222222223</v>
      </c>
      <c r="AL42" s="19">
        <f t="shared" si="65"/>
        <v>6.9097888675623803E-2</v>
      </c>
      <c r="AM42" s="19">
        <f t="shared" si="66"/>
        <v>0.43076923076923074</v>
      </c>
      <c r="AN42" s="19">
        <f t="shared" si="67"/>
        <v>0.40076923076923077</v>
      </c>
      <c r="AO42" s="19">
        <f t="shared" si="68"/>
        <v>0.47933890798488987</v>
      </c>
      <c r="AP42" s="19">
        <f t="shared" si="69"/>
        <v>2.0862066136127693</v>
      </c>
      <c r="AQ42" s="19">
        <f t="shared" si="70"/>
        <v>0.792061792551224</v>
      </c>
      <c r="AR42" s="20">
        <f t="shared" si="71"/>
        <v>2608.7319164819319</v>
      </c>
      <c r="AS42" s="20">
        <f t="shared" si="72"/>
        <v>1404.1599918778147</v>
      </c>
      <c r="AT42" s="20"/>
      <c r="AU42" s="19">
        <f t="shared" si="73"/>
        <v>0.10610997963340121</v>
      </c>
      <c r="AV42" s="19">
        <f t="shared" si="74"/>
        <v>0.43378376612771513</v>
      </c>
      <c r="AW42" s="19"/>
      <c r="AX42" s="20">
        <v>765</v>
      </c>
      <c r="AY42" s="20">
        <v>426</v>
      </c>
      <c r="AZ42" s="20">
        <v>786</v>
      </c>
      <c r="BA42" s="22"/>
      <c r="BB42" s="22"/>
      <c r="BC42" s="22">
        <v>173</v>
      </c>
      <c r="BD42" s="22">
        <v>879</v>
      </c>
      <c r="BE42" s="22">
        <v>48</v>
      </c>
      <c r="BF42" s="22">
        <v>161</v>
      </c>
      <c r="BG42" s="22">
        <v>41</v>
      </c>
      <c r="BH42" s="22">
        <v>111</v>
      </c>
      <c r="BI42" s="36">
        <v>55</v>
      </c>
      <c r="BJ42" s="20">
        <v>396</v>
      </c>
      <c r="BK42" s="20">
        <v>18</v>
      </c>
      <c r="BL42" s="22"/>
      <c r="BM42" s="22"/>
      <c r="BN42" s="20">
        <v>98</v>
      </c>
      <c r="BO42" s="20">
        <v>193</v>
      </c>
      <c r="BP42" s="20"/>
      <c r="BQ42" s="22"/>
      <c r="BR42" s="22"/>
      <c r="BS42" s="22"/>
      <c r="BT42" s="22"/>
      <c r="BU42" s="22"/>
      <c r="BV42" s="22"/>
      <c r="BW42" s="19"/>
      <c r="BX42" s="19"/>
      <c r="BY42" s="19"/>
      <c r="BZ42" s="22"/>
      <c r="CA42" s="19"/>
      <c r="CB42" s="20"/>
      <c r="CC42" s="20">
        <v>40</v>
      </c>
      <c r="CD42" s="22"/>
      <c r="CE42" s="22">
        <v>17</v>
      </c>
      <c r="CG42" s="22">
        <f t="shared" si="75"/>
        <v>404.95867768595042</v>
      </c>
      <c r="CH42" s="22">
        <f t="shared" si="76"/>
        <v>303.93700787401576</v>
      </c>
      <c r="CI42" s="22"/>
      <c r="CJ42" s="22"/>
      <c r="CK42" s="22"/>
      <c r="CL42" s="22"/>
      <c r="CM42" s="22"/>
      <c r="CN42" s="22"/>
      <c r="CO42" s="22"/>
      <c r="CP42" s="22"/>
      <c r="CQ42" s="22"/>
      <c r="CR42" s="22"/>
      <c r="CS42" s="22"/>
      <c r="CT42" s="22"/>
      <c r="CU42" s="22">
        <f t="shared" si="77"/>
        <v>43.666666666666664</v>
      </c>
      <c r="CV42" s="22">
        <f t="shared" si="78"/>
        <v>8.0204081632653068</v>
      </c>
      <c r="CW42" s="22">
        <f t="shared" si="79"/>
        <v>5.4444444444444446</v>
      </c>
      <c r="CX42" s="20">
        <f t="shared" si="80"/>
        <v>279.76666666666665</v>
      </c>
      <c r="CY42" s="22"/>
      <c r="CZ42" s="22"/>
      <c r="DA42" s="22"/>
      <c r="DB42" s="22">
        <f t="shared" si="82"/>
        <v>22</v>
      </c>
      <c r="DC42" s="22">
        <f t="shared" si="83"/>
        <v>19.649999999999999</v>
      </c>
      <c r="DD42" s="22"/>
      <c r="DE42" s="22"/>
      <c r="DF42" s="22"/>
      <c r="DG42" s="19">
        <f t="shared" si="84"/>
        <v>0.32727272727272727</v>
      </c>
      <c r="DH42" s="20">
        <f t="shared" si="85"/>
        <v>30.497142857142855</v>
      </c>
      <c r="DI42" s="19"/>
      <c r="DJ42" s="22"/>
      <c r="DK42" s="22"/>
      <c r="DL42" s="22"/>
      <c r="DM42" s="22"/>
      <c r="DN42" s="76"/>
      <c r="DO42" s="22"/>
      <c r="DP42" s="20"/>
      <c r="DQ42" s="22"/>
      <c r="DR42" s="22"/>
      <c r="DS42" s="19"/>
      <c r="DT42" s="23">
        <f t="shared" si="86"/>
        <v>2.3474178403755869E-3</v>
      </c>
      <c r="DU42" s="22">
        <f t="shared" si="87"/>
        <v>7.2</v>
      </c>
      <c r="DV42" s="22"/>
      <c r="DW42" s="22">
        <f t="shared" si="88"/>
        <v>-0.39116857753897327</v>
      </c>
      <c r="DX42" s="22">
        <f t="shared" si="89"/>
        <v>4.5454545454545459</v>
      </c>
      <c r="DY42" s="22">
        <f t="shared" si="90"/>
        <v>10.1010101010101</v>
      </c>
      <c r="DZ42" s="19">
        <f t="shared" si="91"/>
        <v>1.3856605472531722</v>
      </c>
      <c r="EA42" s="23"/>
      <c r="EB42" s="19">
        <f t="shared" si="92"/>
        <v>2.2222222222222223</v>
      </c>
      <c r="EC42" s="19"/>
      <c r="ED42" s="19"/>
      <c r="EE42" s="19">
        <f t="shared" si="93"/>
        <v>51.755906076206614</v>
      </c>
      <c r="EF42" s="19">
        <f t="shared" si="94"/>
        <v>0.88543708969477708</v>
      </c>
      <c r="EG42" s="19">
        <f t="shared" si="95"/>
        <v>13.703193054800122</v>
      </c>
      <c r="EH42" s="19">
        <f t="shared" si="96"/>
        <v>8.4837522294041019</v>
      </c>
      <c r="EI42" s="19">
        <f t="shared" si="97"/>
        <v>0.15811376601692448</v>
      </c>
      <c r="EJ42" s="19">
        <f t="shared" si="98"/>
        <v>12.859919636043191</v>
      </c>
      <c r="EK42" s="19">
        <f t="shared" si="99"/>
        <v>5.9029139312985137</v>
      </c>
      <c r="EL42" s="19">
        <f t="shared" si="100"/>
        <v>0.37947303844061875</v>
      </c>
      <c r="EM42" s="19">
        <f t="shared" si="101"/>
        <v>5.4918181396545105</v>
      </c>
      <c r="EN42" s="19">
        <f t="shared" si="102"/>
        <v>0.37947303844061875</v>
      </c>
      <c r="EO42" s="19">
        <f t="shared" si="103"/>
        <v>100</v>
      </c>
    </row>
    <row r="43" spans="1:145" s="36" customFormat="1">
      <c r="A43" s="36" t="s">
        <v>163</v>
      </c>
      <c r="B43" s="36">
        <v>5</v>
      </c>
      <c r="C43" s="36" t="s">
        <v>210</v>
      </c>
      <c r="D43" s="36" t="s">
        <v>185</v>
      </c>
      <c r="E43" s="36" t="s">
        <v>63</v>
      </c>
      <c r="F43" s="74"/>
      <c r="G43" s="19">
        <v>43.1</v>
      </c>
      <c r="H43" s="19">
        <v>0.81</v>
      </c>
      <c r="I43" s="19">
        <v>9.9</v>
      </c>
      <c r="J43" s="19">
        <v>6.8826000000000001</v>
      </c>
      <c r="K43" s="19">
        <v>0.09</v>
      </c>
      <c r="L43" s="19">
        <v>7.6</v>
      </c>
      <c r="M43" s="19">
        <v>13.6</v>
      </c>
      <c r="N43" s="19">
        <v>0.82</v>
      </c>
      <c r="O43" s="19">
        <v>4.88</v>
      </c>
      <c r="P43" s="19">
        <v>0.33</v>
      </c>
      <c r="Q43" s="19">
        <v>4.51</v>
      </c>
      <c r="R43" s="19">
        <v>7.28</v>
      </c>
      <c r="S43" s="19">
        <f t="shared" si="104"/>
        <v>99.802599999999984</v>
      </c>
      <c r="U43" s="75"/>
      <c r="V43" s="75"/>
      <c r="W43" s="19"/>
      <c r="X43" s="19"/>
      <c r="Y43" s="19"/>
      <c r="Z43" s="19"/>
      <c r="AA43" s="19"/>
      <c r="AB43" s="19"/>
      <c r="AC43" s="19"/>
      <c r="AD43" s="19"/>
      <c r="AF43" s="19">
        <f t="shared" si="59"/>
        <v>0.71285684035263963</v>
      </c>
      <c r="AG43" s="20">
        <f t="shared" si="60"/>
        <v>4855.9500000000007</v>
      </c>
      <c r="AH43" s="20">
        <f>N43*8302</f>
        <v>6807.6399999999994</v>
      </c>
      <c r="AI43" s="20">
        <f>O43*4364</f>
        <v>21296.32</v>
      </c>
      <c r="AJ43" s="19">
        <f t="shared" si="63"/>
        <v>5.7</v>
      </c>
      <c r="AK43" s="19">
        <f t="shared" si="64"/>
        <v>5.9512195121951219</v>
      </c>
      <c r="AL43" s="19">
        <f t="shared" si="65"/>
        <v>0.16803278688524589</v>
      </c>
      <c r="AM43" s="19">
        <f t="shared" si="66"/>
        <v>1.3737373737373737</v>
      </c>
      <c r="AN43" s="19">
        <f t="shared" si="67"/>
        <v>0.49292929292929288</v>
      </c>
      <c r="AO43" s="19">
        <f t="shared" si="68"/>
        <v>0.6697921831817909</v>
      </c>
      <c r="AP43" s="19">
        <f t="shared" si="69"/>
        <v>1.4930004038709215</v>
      </c>
      <c r="AQ43" s="19">
        <f t="shared" si="70"/>
        <v>0.31571562056291697</v>
      </c>
      <c r="AR43" s="20">
        <f t="shared" si="71"/>
        <v>2326.5335369826621</v>
      </c>
      <c r="AS43" s="20">
        <f t="shared" si="72"/>
        <v>2192.1092100845144</v>
      </c>
      <c r="AT43" s="20"/>
      <c r="AU43" s="19">
        <f t="shared" si="73"/>
        <v>0.11322505800464036</v>
      </c>
      <c r="AV43" s="19">
        <f t="shared" si="74"/>
        <v>0.53353578245297983</v>
      </c>
      <c r="AW43" s="19"/>
      <c r="AX43" s="20">
        <v>451</v>
      </c>
      <c r="AY43" s="20">
        <v>1324</v>
      </c>
      <c r="AZ43" s="20">
        <v>624</v>
      </c>
      <c r="BA43" s="22"/>
      <c r="BB43" s="22"/>
      <c r="BC43" s="22">
        <v>124</v>
      </c>
      <c r="BD43" s="22">
        <v>565</v>
      </c>
      <c r="BE43" s="22">
        <v>45</v>
      </c>
      <c r="BF43" s="22">
        <v>109</v>
      </c>
      <c r="BG43" s="22">
        <v>36</v>
      </c>
      <c r="BH43" s="22">
        <v>90</v>
      </c>
      <c r="BI43" s="36">
        <v>34</v>
      </c>
      <c r="BJ43" s="20">
        <v>295</v>
      </c>
      <c r="BK43" s="20">
        <v>14</v>
      </c>
      <c r="BL43" s="22"/>
      <c r="BM43" s="22"/>
      <c r="BN43" s="20">
        <v>63</v>
      </c>
      <c r="BO43" s="20">
        <v>135</v>
      </c>
      <c r="BP43" s="20"/>
      <c r="BQ43" s="22"/>
      <c r="BR43" s="22"/>
      <c r="BS43" s="22"/>
      <c r="BT43" s="22"/>
      <c r="BU43" s="22"/>
      <c r="BV43" s="22"/>
      <c r="BW43" s="19"/>
      <c r="BX43" s="19"/>
      <c r="BY43" s="19"/>
      <c r="BZ43" s="22"/>
      <c r="CA43" s="19"/>
      <c r="CB43" s="20"/>
      <c r="CC43" s="20">
        <v>30</v>
      </c>
      <c r="CD43" s="22">
        <v>6</v>
      </c>
      <c r="CE43" s="22">
        <v>12</v>
      </c>
      <c r="CG43" s="22">
        <f t="shared" si="75"/>
        <v>260.3305785123967</v>
      </c>
      <c r="CH43" s="22">
        <f t="shared" si="76"/>
        <v>212.5984251968504</v>
      </c>
      <c r="CI43" s="22"/>
      <c r="CJ43" s="22"/>
      <c r="CK43" s="22"/>
      <c r="CL43" s="22"/>
      <c r="CM43" s="22"/>
      <c r="CN43" s="22"/>
      <c r="CO43" s="22"/>
      <c r="CP43" s="22"/>
      <c r="CQ43" s="22"/>
      <c r="CR43" s="22"/>
      <c r="CS43" s="22"/>
      <c r="CT43" s="22"/>
      <c r="CU43" s="22">
        <f t="shared" si="77"/>
        <v>44.571428571428569</v>
      </c>
      <c r="CV43" s="22">
        <f t="shared" si="78"/>
        <v>9.9047619047619051</v>
      </c>
      <c r="CW43" s="22">
        <f t="shared" si="79"/>
        <v>4.5</v>
      </c>
      <c r="CX43" s="20">
        <f t="shared" si="80"/>
        <v>346.85357142857146</v>
      </c>
      <c r="CY43" s="22"/>
      <c r="CZ43" s="22"/>
      <c r="DA43" s="22"/>
      <c r="DB43" s="22">
        <f t="shared" si="82"/>
        <v>21.071428571428573</v>
      </c>
      <c r="DC43" s="22">
        <f t="shared" si="83"/>
        <v>20.8</v>
      </c>
      <c r="DD43" s="22"/>
      <c r="DE43" s="22"/>
      <c r="DF43" s="22"/>
      <c r="DG43" s="19">
        <f t="shared" si="84"/>
        <v>0.41176470588235292</v>
      </c>
      <c r="DH43" s="20">
        <f t="shared" si="85"/>
        <v>108.05777777777777</v>
      </c>
      <c r="DI43" s="19">
        <f>(BK43/0.46)/((O43/0.023)*(CD43/0.017))^0.5</f>
        <v>0.11121747898269559</v>
      </c>
      <c r="DJ43" s="22"/>
      <c r="DK43" s="22"/>
      <c r="DL43" s="22"/>
      <c r="DM43" s="22"/>
      <c r="DN43" s="76"/>
      <c r="DO43" s="22"/>
      <c r="DP43" s="20"/>
      <c r="DQ43" s="22"/>
      <c r="DR43" s="22"/>
      <c r="DS43" s="19"/>
      <c r="DT43" s="23">
        <f t="shared" si="86"/>
        <v>7.5528700906344411E-4</v>
      </c>
      <c r="DU43" s="22">
        <f t="shared" si="87"/>
        <v>8.6764705882352935</v>
      </c>
      <c r="DV43" s="22"/>
      <c r="DW43" s="22">
        <f t="shared" si="88"/>
        <v>-0.44696963132096013</v>
      </c>
      <c r="DX43" s="22">
        <f t="shared" si="89"/>
        <v>4.7457627118644066</v>
      </c>
      <c r="DY43" s="22">
        <f t="shared" si="90"/>
        <v>10.169491525423728</v>
      </c>
      <c r="DZ43" s="19">
        <f t="shared" si="91"/>
        <v>1.1670946345481037</v>
      </c>
      <c r="EA43" s="23"/>
      <c r="EB43" s="19">
        <f t="shared" si="92"/>
        <v>2.1428571428571428</v>
      </c>
      <c r="EC43" s="19"/>
      <c r="ED43" s="19"/>
      <c r="EE43" s="19">
        <f t="shared" si="93"/>
        <v>48.970261076255007</v>
      </c>
      <c r="EF43" s="19">
        <f t="shared" si="94"/>
        <v>0.92032277196674139</v>
      </c>
      <c r="EG43" s="19">
        <f t="shared" si="95"/>
        <v>11.248389435149061</v>
      </c>
      <c r="EH43" s="19">
        <f t="shared" si="96"/>
        <v>7.820016679429993</v>
      </c>
      <c r="EI43" s="19">
        <f t="shared" si="97"/>
        <v>0.10225808577408238</v>
      </c>
      <c r="EJ43" s="19">
        <f t="shared" si="98"/>
        <v>8.6351272431447335</v>
      </c>
      <c r="EK43" s="19">
        <f t="shared" si="99"/>
        <v>15.452332961416891</v>
      </c>
      <c r="EL43" s="19">
        <f t="shared" si="100"/>
        <v>0.93168478149719491</v>
      </c>
      <c r="EM43" s="19">
        <f t="shared" si="101"/>
        <v>5.5446606508613554</v>
      </c>
      <c r="EN43" s="19">
        <f t="shared" si="102"/>
        <v>0.37494631450496868</v>
      </c>
      <c r="EO43" s="19">
        <f t="shared" si="103"/>
        <v>100.00000000000003</v>
      </c>
    </row>
    <row r="44" spans="1:145" s="36" customFormat="1">
      <c r="A44" s="36" t="s">
        <v>163</v>
      </c>
      <c r="B44" s="36">
        <v>5</v>
      </c>
      <c r="C44" s="36" t="s">
        <v>210</v>
      </c>
      <c r="D44" s="36" t="s">
        <v>185</v>
      </c>
      <c r="E44" s="36" t="s">
        <v>63</v>
      </c>
      <c r="F44" s="74"/>
      <c r="G44" s="19">
        <v>44.6</v>
      </c>
      <c r="H44" s="19">
        <v>0.93</v>
      </c>
      <c r="I44" s="19">
        <v>11.6</v>
      </c>
      <c r="J44" s="19">
        <v>8.0118000000000009</v>
      </c>
      <c r="K44" s="19">
        <v>0.09</v>
      </c>
      <c r="L44" s="19">
        <v>11.2</v>
      </c>
      <c r="M44" s="19">
        <v>8.4</v>
      </c>
      <c r="N44" s="19">
        <v>0.52</v>
      </c>
      <c r="O44" s="19">
        <v>7.33</v>
      </c>
      <c r="P44" s="19">
        <v>0.43</v>
      </c>
      <c r="Q44" s="19">
        <v>4.13</v>
      </c>
      <c r="R44" s="19">
        <v>2.64</v>
      </c>
      <c r="S44" s="19">
        <f t="shared" si="104"/>
        <v>99.881800000000013</v>
      </c>
      <c r="U44" s="75"/>
      <c r="V44" s="75"/>
      <c r="W44" s="19"/>
      <c r="X44" s="19"/>
      <c r="Y44" s="19"/>
      <c r="Z44" s="19"/>
      <c r="AA44" s="19"/>
      <c r="AB44" s="19"/>
      <c r="AC44" s="19"/>
      <c r="AD44" s="19"/>
      <c r="AF44" s="19">
        <f t="shared" si="59"/>
        <v>0.75862324761022826</v>
      </c>
      <c r="AG44" s="20">
        <f t="shared" si="60"/>
        <v>5575.35</v>
      </c>
      <c r="AH44" s="20">
        <f>N44*8302</f>
        <v>4317.04</v>
      </c>
      <c r="AI44" s="20">
        <f>O44*4364</f>
        <v>31988.12</v>
      </c>
      <c r="AJ44" s="19">
        <f t="shared" si="63"/>
        <v>7.85</v>
      </c>
      <c r="AK44" s="19">
        <f t="shared" si="64"/>
        <v>14.096153846153845</v>
      </c>
      <c r="AL44" s="19">
        <f t="shared" si="65"/>
        <v>7.0941336971350619E-2</v>
      </c>
      <c r="AM44" s="19">
        <f t="shared" si="66"/>
        <v>0.72413793103448276</v>
      </c>
      <c r="AN44" s="19">
        <f t="shared" si="67"/>
        <v>0.63189655172413794</v>
      </c>
      <c r="AO44" s="19">
        <f t="shared" si="68"/>
        <v>0.75769435164216614</v>
      </c>
      <c r="AP44" s="19">
        <f t="shared" si="69"/>
        <v>1.3197933940416475</v>
      </c>
      <c r="AQ44" s="19">
        <f t="shared" si="70"/>
        <v>0.48209921808404782</v>
      </c>
      <c r="AR44" s="20">
        <f t="shared" si="71"/>
        <v>2037.8854017316339</v>
      </c>
      <c r="AS44" s="20">
        <f t="shared" si="72"/>
        <v>1684.3380659179527</v>
      </c>
      <c r="AT44" s="20"/>
      <c r="AU44" s="19">
        <f t="shared" si="73"/>
        <v>0.16434977578475335</v>
      </c>
      <c r="AV44" s="19">
        <f t="shared" si="74"/>
        <v>0.68395087488103079</v>
      </c>
      <c r="AW44" s="19"/>
      <c r="AX44" s="20">
        <v>515</v>
      </c>
      <c r="AY44" s="20">
        <v>808</v>
      </c>
      <c r="AZ44" s="20">
        <v>807</v>
      </c>
      <c r="BA44" s="22"/>
      <c r="BB44" s="22"/>
      <c r="BC44" s="22">
        <v>159</v>
      </c>
      <c r="BD44" s="22">
        <v>837</v>
      </c>
      <c r="BE44" s="22">
        <v>44</v>
      </c>
      <c r="BF44" s="22">
        <v>146</v>
      </c>
      <c r="BG44" s="22">
        <v>37</v>
      </c>
      <c r="BH44" s="22">
        <v>96</v>
      </c>
      <c r="BI44" s="36">
        <v>48</v>
      </c>
      <c r="BJ44" s="20">
        <v>384</v>
      </c>
      <c r="BK44" s="20">
        <v>15</v>
      </c>
      <c r="BL44" s="22"/>
      <c r="BM44" s="22"/>
      <c r="BN44" s="20">
        <v>97</v>
      </c>
      <c r="BO44" s="20">
        <v>210</v>
      </c>
      <c r="BP44" s="20"/>
      <c r="BQ44" s="22"/>
      <c r="BR44" s="22"/>
      <c r="BS44" s="22"/>
      <c r="BT44" s="22"/>
      <c r="BU44" s="22"/>
      <c r="BV44" s="22"/>
      <c r="BW44" s="19"/>
      <c r="BX44" s="19"/>
      <c r="BY44" s="19"/>
      <c r="BZ44" s="22"/>
      <c r="CA44" s="19"/>
      <c r="CB44" s="20"/>
      <c r="CC44" s="20">
        <v>42</v>
      </c>
      <c r="CD44" s="22"/>
      <c r="CE44" s="22">
        <v>11</v>
      </c>
      <c r="CG44" s="22">
        <f t="shared" si="75"/>
        <v>400.82644628099177</v>
      </c>
      <c r="CH44" s="22">
        <f t="shared" si="76"/>
        <v>330.70866141732284</v>
      </c>
      <c r="CI44" s="22"/>
      <c r="CJ44" s="22"/>
      <c r="CK44" s="22"/>
      <c r="CL44" s="22"/>
      <c r="CM44" s="22"/>
      <c r="CN44" s="22"/>
      <c r="CO44" s="22"/>
      <c r="CP44" s="22"/>
      <c r="CQ44" s="22"/>
      <c r="CR44" s="22"/>
      <c r="CS44" s="22"/>
      <c r="CT44" s="22"/>
      <c r="CU44" s="22">
        <f t="shared" si="77"/>
        <v>53.8</v>
      </c>
      <c r="CV44" s="22">
        <f t="shared" si="78"/>
        <v>8.31958762886598</v>
      </c>
      <c r="CW44" s="22">
        <f t="shared" si="79"/>
        <v>6.4666666666666668</v>
      </c>
      <c r="CX44" s="20">
        <f t="shared" si="80"/>
        <v>371.69</v>
      </c>
      <c r="CY44" s="22"/>
      <c r="CZ44" s="22"/>
      <c r="DA44" s="22"/>
      <c r="DB44" s="22">
        <f t="shared" si="82"/>
        <v>25.6</v>
      </c>
      <c r="DC44" s="22">
        <f t="shared" si="83"/>
        <v>19.214285714285715</v>
      </c>
      <c r="DD44" s="22"/>
      <c r="DE44" s="22"/>
      <c r="DF44" s="22"/>
      <c r="DG44" s="19">
        <f t="shared" si="84"/>
        <v>0.3125</v>
      </c>
      <c r="DH44" s="20">
        <f t="shared" si="85"/>
        <v>44.505567010309278</v>
      </c>
      <c r="DI44" s="19"/>
      <c r="DJ44" s="22"/>
      <c r="DK44" s="22"/>
      <c r="DL44" s="22"/>
      <c r="DM44" s="22"/>
      <c r="DN44" s="76"/>
      <c r="DO44" s="22"/>
      <c r="DP44" s="20"/>
      <c r="DQ44" s="22"/>
      <c r="DR44" s="22"/>
      <c r="DS44" s="19"/>
      <c r="DT44" s="23">
        <f t="shared" si="86"/>
        <v>1.2376237623762376E-3</v>
      </c>
      <c r="DU44" s="22">
        <f t="shared" si="87"/>
        <v>8</v>
      </c>
      <c r="DV44" s="22"/>
      <c r="DW44" s="22">
        <f t="shared" si="88"/>
        <v>-0.49908275334443752</v>
      </c>
      <c r="DX44" s="22">
        <f t="shared" si="89"/>
        <v>3.90625</v>
      </c>
      <c r="DY44" s="22">
        <f t="shared" si="90"/>
        <v>10.9375</v>
      </c>
      <c r="DZ44" s="19">
        <f t="shared" si="91"/>
        <v>1.1165115059488051</v>
      </c>
      <c r="EA44" s="23"/>
      <c r="EB44" s="19">
        <f t="shared" si="92"/>
        <v>2.8</v>
      </c>
      <c r="EC44" s="19"/>
      <c r="ED44" s="19"/>
      <c r="EE44" s="19">
        <f t="shared" si="93"/>
        <v>47.899406949495116</v>
      </c>
      <c r="EF44" s="19">
        <f t="shared" si="94"/>
        <v>0.99879929289305958</v>
      </c>
      <c r="EG44" s="19">
        <f t="shared" si="95"/>
        <v>12.458141717805905</v>
      </c>
      <c r="EH44" s="19">
        <f t="shared" si="96"/>
        <v>8.6044948116135647</v>
      </c>
      <c r="EI44" s="19">
        <f t="shared" si="97"/>
        <v>9.6657996086425113E-2</v>
      </c>
      <c r="EJ44" s="19">
        <f t="shared" si="98"/>
        <v>12.02855062408846</v>
      </c>
      <c r="EK44" s="19">
        <f t="shared" si="99"/>
        <v>9.0214129680663451</v>
      </c>
      <c r="EL44" s="19">
        <f t="shared" si="100"/>
        <v>0.55846842183267842</v>
      </c>
      <c r="EM44" s="19">
        <f t="shared" si="101"/>
        <v>7.8722567923721796</v>
      </c>
      <c r="EN44" s="19">
        <f t="shared" si="102"/>
        <v>0.46181042574625336</v>
      </c>
      <c r="EO44" s="19">
        <f t="shared" si="103"/>
        <v>99.999999999999972</v>
      </c>
    </row>
    <row r="45" spans="1:145" s="36" customFormat="1">
      <c r="A45" s="36" t="s">
        <v>163</v>
      </c>
      <c r="B45" s="36">
        <v>5</v>
      </c>
      <c r="C45" s="36" t="s">
        <v>210</v>
      </c>
      <c r="D45" s="36" t="s">
        <v>185</v>
      </c>
      <c r="E45" s="36" t="s">
        <v>63</v>
      </c>
      <c r="F45" s="74"/>
      <c r="G45" s="19">
        <v>44</v>
      </c>
      <c r="H45" s="19">
        <v>0.81</v>
      </c>
      <c r="I45" s="19">
        <v>10.199999999999999</v>
      </c>
      <c r="J45" s="19">
        <v>7.5707000000000004</v>
      </c>
      <c r="K45" s="19">
        <v>0.14000000000000001</v>
      </c>
      <c r="L45" s="19">
        <v>10.8</v>
      </c>
      <c r="M45" s="19">
        <v>9.8000000000000007</v>
      </c>
      <c r="N45" s="19">
        <v>0.34</v>
      </c>
      <c r="O45" s="19">
        <v>5.96</v>
      </c>
      <c r="P45" s="19">
        <v>0.4</v>
      </c>
      <c r="Q45" s="19">
        <v>5.13</v>
      </c>
      <c r="R45" s="19">
        <v>4.7</v>
      </c>
      <c r="S45" s="19">
        <f t="shared" si="104"/>
        <v>99.850700000000003</v>
      </c>
      <c r="U45" s="75"/>
      <c r="V45" s="75"/>
      <c r="W45" s="19"/>
      <c r="X45" s="19"/>
      <c r="Y45" s="19"/>
      <c r="Z45" s="19"/>
      <c r="AA45" s="19"/>
      <c r="AB45" s="19"/>
      <c r="AC45" s="19"/>
      <c r="AD45" s="19"/>
      <c r="AF45" s="19">
        <f t="shared" si="59"/>
        <v>0.76231408721134453</v>
      </c>
      <c r="AG45" s="20">
        <f t="shared" si="60"/>
        <v>4855.9500000000007</v>
      </c>
      <c r="AH45" s="20">
        <f>N45*8302</f>
        <v>2822.6800000000003</v>
      </c>
      <c r="AI45" s="20">
        <f>O45*4364</f>
        <v>26009.439999999999</v>
      </c>
      <c r="AJ45" s="19">
        <f t="shared" si="63"/>
        <v>6.3</v>
      </c>
      <c r="AK45" s="19">
        <f t="shared" si="64"/>
        <v>17.52941176470588</v>
      </c>
      <c r="AL45" s="19">
        <f t="shared" si="65"/>
        <v>5.704697986577182E-2</v>
      </c>
      <c r="AM45" s="19">
        <f t="shared" si="66"/>
        <v>0.96078431372549045</v>
      </c>
      <c r="AN45" s="19">
        <f t="shared" si="67"/>
        <v>0.58431372549019611</v>
      </c>
      <c r="AO45" s="19">
        <f t="shared" si="68"/>
        <v>0.6872831674027724</v>
      </c>
      <c r="AP45" s="19">
        <f t="shared" si="69"/>
        <v>1.4550043525421661</v>
      </c>
      <c r="AQ45" s="19">
        <f t="shared" si="70"/>
        <v>0.41082922194529542</v>
      </c>
      <c r="AR45" s="20">
        <f t="shared" si="71"/>
        <v>2286.1618893341397</v>
      </c>
      <c r="AS45" s="20">
        <f t="shared" si="72"/>
        <v>1871.2601876620249</v>
      </c>
      <c r="AT45" s="20"/>
      <c r="AU45" s="19">
        <f t="shared" si="73"/>
        <v>0.13545454545454547</v>
      </c>
      <c r="AV45" s="19">
        <f t="shared" si="74"/>
        <v>0.6324482744265435</v>
      </c>
      <c r="AW45" s="19"/>
      <c r="AX45" s="20">
        <v>495</v>
      </c>
      <c r="AY45" s="20">
        <v>665</v>
      </c>
      <c r="AZ45" s="20">
        <v>789</v>
      </c>
      <c r="BA45" s="22"/>
      <c r="BB45" s="22"/>
      <c r="BC45" s="22">
        <v>164</v>
      </c>
      <c r="BD45" s="22">
        <v>841</v>
      </c>
      <c r="BE45" s="22">
        <v>36</v>
      </c>
      <c r="BF45" s="22">
        <v>145</v>
      </c>
      <c r="BG45" s="22">
        <v>33</v>
      </c>
      <c r="BH45" s="22">
        <v>97</v>
      </c>
      <c r="BI45" s="36">
        <v>41</v>
      </c>
      <c r="BJ45" s="20">
        <v>374</v>
      </c>
      <c r="BK45" s="20">
        <v>16</v>
      </c>
      <c r="BL45" s="22"/>
      <c r="BM45" s="22"/>
      <c r="BN45" s="20">
        <v>86</v>
      </c>
      <c r="BO45" s="20">
        <v>175</v>
      </c>
      <c r="BP45" s="20"/>
      <c r="BQ45" s="22"/>
      <c r="BR45" s="22"/>
      <c r="BS45" s="22"/>
      <c r="BT45" s="22"/>
      <c r="BU45" s="22"/>
      <c r="BV45" s="22"/>
      <c r="BW45" s="19"/>
      <c r="BX45" s="19"/>
      <c r="BY45" s="19"/>
      <c r="BZ45" s="22"/>
      <c r="CA45" s="19"/>
      <c r="CB45" s="20"/>
      <c r="CC45" s="20">
        <v>37</v>
      </c>
      <c r="CD45" s="22"/>
      <c r="CE45" s="22">
        <v>16</v>
      </c>
      <c r="CG45" s="22">
        <f t="shared" si="75"/>
        <v>355.37190082644628</v>
      </c>
      <c r="CH45" s="22">
        <f t="shared" si="76"/>
        <v>275.59055118110234</v>
      </c>
      <c r="CI45" s="22"/>
      <c r="CJ45" s="22"/>
      <c r="CK45" s="22"/>
      <c r="CL45" s="22"/>
      <c r="CM45" s="22"/>
      <c r="CN45" s="22"/>
      <c r="CO45" s="22"/>
      <c r="CP45" s="22"/>
      <c r="CQ45" s="22"/>
      <c r="CR45" s="22"/>
      <c r="CS45" s="22"/>
      <c r="CT45" s="22"/>
      <c r="CU45" s="22">
        <f t="shared" si="77"/>
        <v>49.3125</v>
      </c>
      <c r="CV45" s="22">
        <f t="shared" si="78"/>
        <v>9.1744186046511622</v>
      </c>
      <c r="CW45" s="22">
        <f t="shared" si="79"/>
        <v>5.375</v>
      </c>
      <c r="CX45" s="20">
        <f t="shared" si="80"/>
        <v>303.49687500000005</v>
      </c>
      <c r="CY45" s="22"/>
      <c r="CZ45" s="22"/>
      <c r="DA45" s="22"/>
      <c r="DB45" s="22">
        <f t="shared" si="82"/>
        <v>23.375</v>
      </c>
      <c r="DC45" s="22">
        <f t="shared" si="83"/>
        <v>21.324324324324323</v>
      </c>
      <c r="DD45" s="22"/>
      <c r="DE45" s="22"/>
      <c r="DF45" s="22"/>
      <c r="DG45" s="19">
        <f t="shared" si="84"/>
        <v>0.3902439024390244</v>
      </c>
      <c r="DH45" s="20">
        <f t="shared" si="85"/>
        <v>32.821860465116281</v>
      </c>
      <c r="DI45" s="19"/>
      <c r="DJ45" s="22"/>
      <c r="DK45" s="22"/>
      <c r="DL45" s="22"/>
      <c r="DM45" s="22"/>
      <c r="DN45" s="76"/>
      <c r="DO45" s="22"/>
      <c r="DP45" s="20"/>
      <c r="DQ45" s="22"/>
      <c r="DR45" s="22"/>
      <c r="DS45" s="19"/>
      <c r="DT45" s="23">
        <f t="shared" si="86"/>
        <v>1.5037593984962407E-3</v>
      </c>
      <c r="DU45" s="22">
        <f t="shared" si="87"/>
        <v>9.1219512195121943</v>
      </c>
      <c r="DV45" s="22"/>
      <c r="DW45" s="22">
        <f t="shared" si="88"/>
        <v>-0.51203234538684028</v>
      </c>
      <c r="DX45" s="22">
        <f t="shared" si="89"/>
        <v>4.2780748663101607</v>
      </c>
      <c r="DY45" s="22">
        <f t="shared" si="90"/>
        <v>9.8930481283422456</v>
      </c>
      <c r="DZ45" s="19">
        <f t="shared" si="91"/>
        <v>1.6370503789976258</v>
      </c>
      <c r="EA45" s="23"/>
      <c r="EB45" s="19">
        <f t="shared" si="92"/>
        <v>2.3125</v>
      </c>
      <c r="EC45" s="19"/>
      <c r="ED45" s="19"/>
      <c r="EE45" s="19">
        <f t="shared" si="93"/>
        <v>48.877647030071969</v>
      </c>
      <c r="EF45" s="19">
        <f t="shared" si="94"/>
        <v>0.89979304759905221</v>
      </c>
      <c r="EG45" s="19">
        <f t="shared" si="95"/>
        <v>11.330727266062137</v>
      </c>
      <c r="EH45" s="19">
        <f t="shared" si="96"/>
        <v>8.4099545993310425</v>
      </c>
      <c r="EI45" s="19">
        <f t="shared" si="97"/>
        <v>0.15551978600477448</v>
      </c>
      <c r="EJ45" s="19">
        <f t="shared" si="98"/>
        <v>11.997240634654029</v>
      </c>
      <c r="EK45" s="19">
        <f t="shared" si="99"/>
        <v>10.886385020334213</v>
      </c>
      <c r="EL45" s="19">
        <f t="shared" si="100"/>
        <v>0.37769090886873796</v>
      </c>
      <c r="EM45" s="19">
        <f t="shared" si="101"/>
        <v>6.6206994613461125</v>
      </c>
      <c r="EN45" s="19">
        <f t="shared" si="102"/>
        <v>0.44434224572792702</v>
      </c>
      <c r="EO45" s="19">
        <f t="shared" si="103"/>
        <v>100</v>
      </c>
    </row>
    <row r="46" spans="1:145" s="36" customFormat="1">
      <c r="A46" s="36" t="s">
        <v>163</v>
      </c>
      <c r="B46" s="36">
        <v>5</v>
      </c>
      <c r="C46" s="36" t="s">
        <v>169</v>
      </c>
      <c r="D46" s="36" t="s">
        <v>178</v>
      </c>
      <c r="E46" s="36" t="s">
        <v>161</v>
      </c>
      <c r="F46" s="74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U46" s="75">
        <v>0.71055699999999999</v>
      </c>
      <c r="V46" s="75">
        <v>0.51207100000000005</v>
      </c>
      <c r="W46" s="19"/>
      <c r="X46" s="19"/>
      <c r="Y46" s="19"/>
      <c r="Z46" s="19"/>
      <c r="AA46" s="19"/>
      <c r="AB46" s="19"/>
      <c r="AC46" s="19"/>
      <c r="AD46" s="19"/>
      <c r="AF46" s="19"/>
      <c r="AG46" s="20"/>
      <c r="AH46" s="20"/>
      <c r="AI46" s="20"/>
      <c r="AJ46" s="19"/>
      <c r="AK46" s="19"/>
      <c r="AL46" s="19"/>
      <c r="AM46" s="19"/>
      <c r="AN46" s="19"/>
      <c r="AO46" s="19"/>
      <c r="AP46" s="19"/>
      <c r="AQ46" s="19"/>
      <c r="AR46" s="20"/>
      <c r="AS46" s="20"/>
      <c r="AT46" s="20"/>
      <c r="AU46" s="19"/>
      <c r="AV46" s="19"/>
      <c r="AW46" s="19"/>
      <c r="AX46" s="20"/>
      <c r="AY46" s="20"/>
      <c r="AZ46" s="20"/>
      <c r="BA46" s="22"/>
      <c r="BB46" s="22"/>
      <c r="BC46" s="22"/>
      <c r="BD46" s="22"/>
      <c r="BE46" s="22"/>
      <c r="BF46" s="22"/>
      <c r="BG46" s="22"/>
      <c r="BH46" s="22"/>
      <c r="BJ46" s="20"/>
      <c r="BK46" s="20"/>
      <c r="BL46" s="22"/>
      <c r="BM46" s="22"/>
      <c r="BN46" s="20"/>
      <c r="BO46" s="20"/>
      <c r="BP46" s="20"/>
      <c r="BQ46" s="22"/>
      <c r="BR46" s="22"/>
      <c r="BS46" s="22"/>
      <c r="BT46" s="22"/>
      <c r="BU46" s="22"/>
      <c r="BV46" s="22"/>
      <c r="BW46" s="19"/>
      <c r="BX46" s="19"/>
      <c r="BY46" s="19"/>
      <c r="BZ46" s="22"/>
      <c r="CA46" s="19"/>
      <c r="CB46" s="20"/>
      <c r="CC46" s="20"/>
      <c r="CD46" s="22"/>
      <c r="CE46" s="22"/>
      <c r="CG46" s="22"/>
      <c r="CH46" s="22"/>
      <c r="CI46" s="22"/>
      <c r="CJ46" s="22"/>
      <c r="CK46" s="22"/>
      <c r="CL46" s="22"/>
      <c r="CM46" s="22"/>
      <c r="CN46" s="22"/>
      <c r="CO46" s="22"/>
      <c r="CP46" s="22"/>
      <c r="CQ46" s="22"/>
      <c r="CR46" s="22"/>
      <c r="CS46" s="22"/>
      <c r="CT46" s="22"/>
      <c r="CU46" s="22"/>
      <c r="CV46" s="22"/>
      <c r="CW46" s="22"/>
      <c r="CX46" s="20"/>
      <c r="CY46" s="22"/>
      <c r="CZ46" s="22"/>
      <c r="DA46" s="22"/>
      <c r="DB46" s="22"/>
      <c r="DC46" s="22"/>
      <c r="DD46" s="22"/>
      <c r="DE46" s="22"/>
      <c r="DF46" s="22"/>
      <c r="DG46" s="19"/>
      <c r="DH46" s="20"/>
      <c r="DI46" s="19"/>
      <c r="DJ46" s="22"/>
      <c r="DK46" s="22"/>
      <c r="DL46" s="22"/>
      <c r="DM46" s="22"/>
      <c r="DN46" s="76"/>
      <c r="DO46" s="22"/>
      <c r="DP46" s="20"/>
      <c r="DQ46" s="22"/>
      <c r="DR46" s="22"/>
      <c r="DS46" s="19"/>
      <c r="DT46" s="23"/>
      <c r="DU46" s="22"/>
      <c r="DV46" s="22"/>
      <c r="DW46" s="22"/>
      <c r="DX46" s="22"/>
      <c r="DY46" s="22"/>
      <c r="DZ46" s="19"/>
      <c r="EA46" s="23"/>
      <c r="EB46" s="19"/>
      <c r="EC46" s="19"/>
      <c r="ED46" s="19"/>
      <c r="EE46" s="19"/>
      <c r="EF46" s="19"/>
      <c r="EG46" s="19"/>
      <c r="EH46" s="19"/>
      <c r="EI46" s="19"/>
      <c r="EJ46" s="19"/>
      <c r="EK46" s="19"/>
      <c r="EL46" s="19"/>
      <c r="EM46" s="19"/>
      <c r="EN46" s="19"/>
      <c r="EO46" s="19"/>
    </row>
    <row r="47" spans="1:145" s="36" customFormat="1">
      <c r="A47" s="36" t="s">
        <v>163</v>
      </c>
      <c r="B47" s="36">
        <v>5</v>
      </c>
      <c r="C47" s="36" t="s">
        <v>169</v>
      </c>
      <c r="D47" s="36" t="s">
        <v>178</v>
      </c>
      <c r="E47" s="36" t="s">
        <v>161</v>
      </c>
      <c r="F47" s="74"/>
      <c r="G47" s="19">
        <v>39.799999999999997</v>
      </c>
      <c r="H47" s="19">
        <v>0.65</v>
      </c>
      <c r="I47" s="19">
        <v>11.4</v>
      </c>
      <c r="J47" s="19">
        <v>6.5599000000000007</v>
      </c>
      <c r="K47" s="19">
        <v>0.08</v>
      </c>
      <c r="L47" s="19">
        <v>15</v>
      </c>
      <c r="M47" s="19">
        <v>12.8</v>
      </c>
      <c r="N47" s="19">
        <v>0.57999999999999996</v>
      </c>
      <c r="O47" s="19">
        <v>6.86</v>
      </c>
      <c r="P47" s="19">
        <v>0.43</v>
      </c>
      <c r="Q47" s="19"/>
      <c r="R47" s="19">
        <v>2.64</v>
      </c>
      <c r="S47" s="19">
        <f>SUM(G47:R47)</f>
        <v>96.799899999999994</v>
      </c>
      <c r="U47" s="75">
        <v>0.71055900000000005</v>
      </c>
      <c r="V47" s="75">
        <v>0.51207400000000003</v>
      </c>
      <c r="W47" s="19"/>
      <c r="X47" s="19"/>
      <c r="Y47" s="19"/>
      <c r="Z47" s="19"/>
      <c r="AA47" s="19"/>
      <c r="AB47" s="19"/>
      <c r="AC47" s="19"/>
      <c r="AD47" s="19"/>
      <c r="AF47" s="19">
        <f>(L47/40.31)/((L47/40.31)+(J47-(J47*0.1189))*0.8998/71.85)</f>
        <v>0.83715668796937304</v>
      </c>
      <c r="AG47" s="20">
        <f>H47*5995</f>
        <v>3896.75</v>
      </c>
      <c r="AH47" s="20">
        <f>O47*8302</f>
        <v>56951.72</v>
      </c>
      <c r="AI47" s="20">
        <f>P47*4364</f>
        <v>1876.52</v>
      </c>
      <c r="AJ47" s="19">
        <f>N47+O47</f>
        <v>7.44</v>
      </c>
      <c r="AK47" s="19">
        <f>O47/N47</f>
        <v>11.827586206896553</v>
      </c>
      <c r="AL47" s="19">
        <f>N47/O47</f>
        <v>8.4548104956268216E-2</v>
      </c>
      <c r="AM47" s="19">
        <f>EK47/EG47</f>
        <v>1.1228070175438596</v>
      </c>
      <c r="AN47" s="19">
        <f>O47/I47</f>
        <v>0.60175438596491226</v>
      </c>
      <c r="AO47" s="19">
        <f>(EL47/61.98+EM47/94.2)/(EG47/101.96)</f>
        <v>0.73502102318646156</v>
      </c>
      <c r="AP47" s="19">
        <f>1/AO47</f>
        <v>1.3605053031882028</v>
      </c>
      <c r="AQ47" s="19">
        <f>(EG47/101.96)/((EK47/56.08)+(EL47/61.98)+(EM47/94.2))</f>
        <v>0.3601766349373115</v>
      </c>
      <c r="AR47" s="20">
        <f>1000*(4*(EE47/60.08)-11*(EL47/61.98+EM47/94.2)-2*(EH47/159.69+EF47/79.87))</f>
        <v>1749.5429411652051</v>
      </c>
      <c r="AS47" s="20">
        <f>1000*(6*(EK47/56.08)+2*(EJ47/40.3)+EG47/101.96)</f>
        <v>2363.7425362802032</v>
      </c>
      <c r="AT47" s="20"/>
      <c r="AU47" s="19">
        <f>O47/G47</f>
        <v>0.17236180904522616</v>
      </c>
      <c r="AV47" s="19">
        <f>(O47/94.2)/(I47/101.96)</f>
        <v>0.65132566022274363</v>
      </c>
      <c r="AW47" s="19"/>
      <c r="AX47" s="20">
        <v>412</v>
      </c>
      <c r="AY47" s="20">
        <v>1170</v>
      </c>
      <c r="AZ47" s="20">
        <v>588</v>
      </c>
      <c r="BA47" s="22"/>
      <c r="BB47" s="22"/>
      <c r="BC47" s="22">
        <v>136</v>
      </c>
      <c r="BD47" s="22">
        <v>723</v>
      </c>
      <c r="BE47" s="22">
        <v>35</v>
      </c>
      <c r="BF47" s="22">
        <v>133</v>
      </c>
      <c r="BG47" s="22"/>
      <c r="BH47" s="22"/>
      <c r="BI47" s="36">
        <v>35</v>
      </c>
      <c r="BJ47" s="20">
        <v>327</v>
      </c>
      <c r="BK47" s="20">
        <v>12</v>
      </c>
      <c r="BL47" s="22"/>
      <c r="BM47" s="22"/>
      <c r="BN47" s="20">
        <v>74.8</v>
      </c>
      <c r="BO47" s="20">
        <v>160</v>
      </c>
      <c r="BP47" s="20">
        <v>20.3</v>
      </c>
      <c r="BQ47" s="22">
        <v>84.7</v>
      </c>
      <c r="BR47" s="22">
        <v>17.100000000000001</v>
      </c>
      <c r="BS47" s="22">
        <v>3.33</v>
      </c>
      <c r="BT47" s="22">
        <v>13</v>
      </c>
      <c r="BU47" s="22">
        <v>1.5</v>
      </c>
      <c r="BV47" s="22">
        <v>7.6</v>
      </c>
      <c r="BW47" s="19">
        <v>1.19</v>
      </c>
      <c r="BX47" s="19">
        <v>3.1</v>
      </c>
      <c r="BY47" s="19">
        <v>0.4</v>
      </c>
      <c r="BZ47" s="22">
        <v>2.2000000000000002</v>
      </c>
      <c r="CA47" s="19">
        <v>0.31</v>
      </c>
      <c r="CB47" s="20"/>
      <c r="CC47" s="20">
        <v>32.299999999999997</v>
      </c>
      <c r="CD47" s="22">
        <v>7.5</v>
      </c>
      <c r="CE47" s="22"/>
      <c r="CG47" s="22">
        <f>BN47/0.242</f>
        <v>309.09090909090907</v>
      </c>
      <c r="CH47" s="22">
        <f>BO47/0.635</f>
        <v>251.96850393700788</v>
      </c>
      <c r="CI47" s="22">
        <f>BP47/0.0963</f>
        <v>210.79958463136035</v>
      </c>
      <c r="CJ47" s="22">
        <f>BQ47/0.48</f>
        <v>176.45833333333334</v>
      </c>
      <c r="CK47" s="22">
        <f>BR47/0.156</f>
        <v>109.61538461538463</v>
      </c>
      <c r="CL47" s="22">
        <f>BS47/0.0591</f>
        <v>56.345177664974621</v>
      </c>
      <c r="CM47" s="22">
        <f>BT47/0.212</f>
        <v>61.320754716981135</v>
      </c>
      <c r="CN47" s="22">
        <f>BU47/0.0376</f>
        <v>39.893617021276597</v>
      </c>
      <c r="CO47" s="22">
        <f>BV47/0.259</f>
        <v>29.343629343629342</v>
      </c>
      <c r="CP47" s="22">
        <f>BW47/0.0585</f>
        <v>20.341880341880341</v>
      </c>
      <c r="CQ47" s="22">
        <f>BX47/0.163</f>
        <v>19.018404907975459</v>
      </c>
      <c r="CR47" s="22">
        <f>BY47/0.0256</f>
        <v>15.625</v>
      </c>
      <c r="CS47" s="22">
        <f>BZ47/0.166</f>
        <v>13.253012048192771</v>
      </c>
      <c r="CT47" s="22">
        <f>CA47/0.024</f>
        <v>12.916666666666666</v>
      </c>
      <c r="CU47" s="22">
        <f>AZ47/BK47</f>
        <v>49</v>
      </c>
      <c r="CV47" s="22">
        <f>AZ47/BN47</f>
        <v>7.8609625668449201</v>
      </c>
      <c r="CW47" s="22">
        <f>BN47/BK47</f>
        <v>6.2333333333333334</v>
      </c>
      <c r="CX47" s="20">
        <f>AG47/BK47</f>
        <v>324.72916666666669</v>
      </c>
      <c r="CY47" s="22"/>
      <c r="CZ47" s="22">
        <f>BK47/CD47</f>
        <v>1.6</v>
      </c>
      <c r="DA47" s="22">
        <f>AX47/BR47</f>
        <v>24.093567251461987</v>
      </c>
      <c r="DB47" s="22">
        <f>BJ47/BK47</f>
        <v>27.25</v>
      </c>
      <c r="DC47" s="22">
        <f>AZ47/CC47</f>
        <v>18.204334365325078</v>
      </c>
      <c r="DD47" s="22"/>
      <c r="DE47" s="22"/>
      <c r="DF47" s="22">
        <f>CC47/BZ47</f>
        <v>14.68181818181818</v>
      </c>
      <c r="DG47" s="19">
        <f>BK47/BI47</f>
        <v>0.34285714285714286</v>
      </c>
      <c r="DH47" s="20">
        <f>AH47/BN47</f>
        <v>761.38663101604277</v>
      </c>
      <c r="DI47" s="19">
        <f>(BK47/0.46)/((O47/0.023)*(CD47/0.017))^0.5</f>
        <v>7.1914936864684018E-2</v>
      </c>
      <c r="DJ47" s="22">
        <f>BN47/CA47</f>
        <v>241.29032258064515</v>
      </c>
      <c r="DK47" s="22">
        <f>CG47/CT47</f>
        <v>23.929618768328446</v>
      </c>
      <c r="DL47" s="22">
        <f>CG47/CK47</f>
        <v>2.8197767145135559</v>
      </c>
      <c r="DM47" s="22">
        <f>BN47/BZ47</f>
        <v>33.999999999999993</v>
      </c>
      <c r="DN47" s="76"/>
      <c r="DO47" s="22">
        <f>BR47/BZ47</f>
        <v>7.7727272727272725</v>
      </c>
      <c r="DP47" s="20">
        <f>AY47/BZ47</f>
        <v>531.81818181818176</v>
      </c>
      <c r="DQ47" s="22">
        <f>AY47/BQ47</f>
        <v>13.813459268004722</v>
      </c>
      <c r="DR47" s="22">
        <f>AY47/(((BR47/0.195)*(BT47/0.259))^0.5)</f>
        <v>17.635318927771351</v>
      </c>
      <c r="DS47" s="19">
        <f>(BS47/0.074)/(((BR47/0.195)*(BT47/0.259))^0.5)</f>
        <v>0.67828149722197506</v>
      </c>
      <c r="DT47" s="23">
        <f>1/AY47</f>
        <v>8.547008547008547E-4</v>
      </c>
      <c r="DU47" s="22">
        <f>BJ47/BI47</f>
        <v>9.3428571428571434</v>
      </c>
      <c r="DV47" s="22"/>
      <c r="DW47" s="22">
        <f>1.74+LOG(BK47/BI47)-1.92*LOG(BJ47/BI47)</f>
        <v>-0.58820783825787082</v>
      </c>
      <c r="DX47" s="22">
        <f>BK47*100/BJ47</f>
        <v>3.669724770642202</v>
      </c>
      <c r="DY47" s="22">
        <f>CC47*100/BJ47</f>
        <v>9.8776758409785916</v>
      </c>
      <c r="DZ47" s="19">
        <f>EK47*100/AY47</f>
        <v>1.1618715546820824</v>
      </c>
      <c r="EA47" s="23"/>
      <c r="EB47" s="19">
        <f>CC47/BK47</f>
        <v>2.6916666666666664</v>
      </c>
      <c r="EC47" s="19"/>
      <c r="ED47" s="19"/>
      <c r="EE47" s="19">
        <f t="shared" ref="EE47:EN47" si="105">100*G47/($G47+$H47+$I47+$J47+$K47+$L47+$M47+$N47+$O47+$P47)</f>
        <v>42.268524074473312</v>
      </c>
      <c r="EF47" s="19">
        <f t="shared" si="105"/>
        <v>0.69031509166853411</v>
      </c>
      <c r="EG47" s="19">
        <f t="shared" si="105"/>
        <v>12.107064684648137</v>
      </c>
      <c r="EH47" s="19">
        <f t="shared" si="105"/>
        <v>6.9667661074406428</v>
      </c>
      <c r="EI47" s="19">
        <f t="shared" si="105"/>
        <v>8.4961857436127275E-2</v>
      </c>
      <c r="EJ47" s="19">
        <f t="shared" si="105"/>
        <v>15.930348269273864</v>
      </c>
      <c r="EK47" s="19">
        <f t="shared" si="105"/>
        <v>13.593897189780364</v>
      </c>
      <c r="EL47" s="19">
        <f t="shared" si="105"/>
        <v>0.61597346641192263</v>
      </c>
      <c r="EM47" s="19">
        <f t="shared" si="105"/>
        <v>7.2854792751479138</v>
      </c>
      <c r="EN47" s="19">
        <f t="shared" si="105"/>
        <v>0.4566699837191841</v>
      </c>
      <c r="EO47" s="19">
        <f>SUM(EE47:EN47)</f>
        <v>99.999999999999986</v>
      </c>
    </row>
    <row r="48" spans="1:145" s="36" customFormat="1">
      <c r="A48" s="36" t="s">
        <v>163</v>
      </c>
      <c r="B48" s="36">
        <v>5</v>
      </c>
      <c r="C48" s="36" t="s">
        <v>169</v>
      </c>
      <c r="D48" s="36" t="s">
        <v>219</v>
      </c>
      <c r="E48" s="36" t="s">
        <v>161</v>
      </c>
      <c r="F48" s="74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U48" s="75">
        <v>0.71056900000000001</v>
      </c>
      <c r="V48" s="75">
        <v>0.51202999999999999</v>
      </c>
      <c r="W48" s="19"/>
      <c r="X48" s="19"/>
      <c r="Y48" s="19"/>
      <c r="Z48" s="19"/>
      <c r="AA48" s="19"/>
      <c r="AB48" s="19"/>
      <c r="AC48" s="19"/>
      <c r="AD48" s="19"/>
      <c r="AF48" s="19"/>
      <c r="AG48" s="20"/>
      <c r="AH48" s="20"/>
      <c r="AI48" s="20"/>
      <c r="AJ48" s="19"/>
      <c r="AK48" s="19"/>
      <c r="AL48" s="19"/>
      <c r="AM48" s="19"/>
      <c r="AN48" s="19"/>
      <c r="AO48" s="19"/>
      <c r="AP48" s="19"/>
      <c r="AQ48" s="19"/>
      <c r="AR48" s="20"/>
      <c r="AS48" s="20"/>
      <c r="AT48" s="20"/>
      <c r="AU48" s="19"/>
      <c r="AV48" s="19"/>
      <c r="AW48" s="19"/>
      <c r="AX48" s="20"/>
      <c r="AY48" s="20"/>
      <c r="AZ48" s="20"/>
      <c r="BA48" s="22"/>
      <c r="BB48" s="22"/>
      <c r="BC48" s="22"/>
      <c r="BD48" s="22"/>
      <c r="BE48" s="22"/>
      <c r="BF48" s="22"/>
      <c r="BG48" s="22"/>
      <c r="BH48" s="22"/>
      <c r="BJ48" s="20"/>
      <c r="BK48" s="20"/>
      <c r="BL48" s="22"/>
      <c r="BM48" s="22"/>
      <c r="BN48" s="20"/>
      <c r="BO48" s="20"/>
      <c r="BP48" s="20"/>
      <c r="BQ48" s="22"/>
      <c r="BR48" s="22"/>
      <c r="BS48" s="22"/>
      <c r="BT48" s="22"/>
      <c r="BU48" s="22"/>
      <c r="BV48" s="22"/>
      <c r="BW48" s="19"/>
      <c r="BX48" s="19"/>
      <c r="BY48" s="19"/>
      <c r="BZ48" s="22"/>
      <c r="CA48" s="19"/>
      <c r="CB48" s="20"/>
      <c r="CC48" s="20"/>
      <c r="CD48" s="22"/>
      <c r="CE48" s="22"/>
      <c r="CG48" s="22"/>
      <c r="CH48" s="22"/>
      <c r="CI48" s="22"/>
      <c r="CJ48" s="22"/>
      <c r="CK48" s="22"/>
      <c r="CL48" s="22"/>
      <c r="CM48" s="22"/>
      <c r="CN48" s="22"/>
      <c r="CO48" s="22"/>
      <c r="CP48" s="22"/>
      <c r="CQ48" s="22"/>
      <c r="CR48" s="22"/>
      <c r="CS48" s="22"/>
      <c r="CT48" s="22"/>
      <c r="CU48" s="22"/>
      <c r="CV48" s="22"/>
      <c r="CW48" s="22"/>
      <c r="CX48" s="20"/>
      <c r="CY48" s="22"/>
      <c r="CZ48" s="22"/>
      <c r="DA48" s="22"/>
      <c r="DB48" s="22"/>
      <c r="DC48" s="22"/>
      <c r="DD48" s="22"/>
      <c r="DE48" s="22"/>
      <c r="DF48" s="22"/>
      <c r="DG48" s="19"/>
      <c r="DH48" s="20"/>
      <c r="DI48" s="19"/>
      <c r="DJ48" s="22"/>
      <c r="DK48" s="22"/>
      <c r="DL48" s="22"/>
      <c r="DM48" s="22"/>
      <c r="DN48" s="76"/>
      <c r="DO48" s="22"/>
      <c r="DP48" s="20"/>
      <c r="DQ48" s="22"/>
      <c r="DR48" s="22"/>
      <c r="DS48" s="19"/>
      <c r="DT48" s="23"/>
      <c r="DU48" s="22"/>
      <c r="DV48" s="22"/>
      <c r="DW48" s="22"/>
      <c r="DX48" s="22"/>
      <c r="DY48" s="22"/>
      <c r="DZ48" s="19"/>
      <c r="EA48" s="23"/>
      <c r="EB48" s="19"/>
      <c r="EC48" s="19"/>
      <c r="ED48" s="19"/>
      <c r="EE48" s="19"/>
      <c r="EF48" s="19"/>
      <c r="EG48" s="19"/>
      <c r="EH48" s="19"/>
      <c r="EI48" s="19"/>
      <c r="EJ48" s="19"/>
      <c r="EK48" s="19"/>
      <c r="EL48" s="19"/>
      <c r="EM48" s="19"/>
      <c r="EN48" s="19"/>
      <c r="EO48" s="19"/>
    </row>
    <row r="49" spans="1:145" s="36" customFormat="1">
      <c r="A49" s="36" t="s">
        <v>163</v>
      </c>
      <c r="B49" s="36">
        <v>5</v>
      </c>
      <c r="C49" s="36" t="s">
        <v>205</v>
      </c>
      <c r="D49" s="1" t="s">
        <v>204</v>
      </c>
      <c r="E49" s="36" t="s">
        <v>63</v>
      </c>
      <c r="F49" s="74"/>
      <c r="G49" s="19">
        <v>41</v>
      </c>
      <c r="H49" s="19">
        <v>0.76</v>
      </c>
      <c r="I49" s="19">
        <v>11.3</v>
      </c>
      <c r="J49" s="19">
        <v>7.295300000000001</v>
      </c>
      <c r="K49" s="19">
        <v>0.12</v>
      </c>
      <c r="L49" s="19">
        <v>13</v>
      </c>
      <c r="M49" s="19">
        <v>14.8</v>
      </c>
      <c r="N49" s="19">
        <v>1.0900000000000001</v>
      </c>
      <c r="O49" s="19">
        <v>7.76</v>
      </c>
      <c r="P49" s="19">
        <v>0.33</v>
      </c>
      <c r="Q49" s="19">
        <v>2.97</v>
      </c>
      <c r="R49" s="19"/>
      <c r="S49" s="19">
        <f>SUM(G49:R49)</f>
        <v>100.42530000000001</v>
      </c>
      <c r="U49" s="75"/>
      <c r="W49" s="19"/>
      <c r="X49" s="19"/>
      <c r="Y49" s="19"/>
      <c r="Z49" s="19"/>
      <c r="AA49" s="19"/>
      <c r="AB49" s="19"/>
      <c r="AC49" s="19"/>
      <c r="AD49" s="19"/>
      <c r="AF49" s="19">
        <f>(L49/40.31)/((L49/40.31)+(J49-(J49*0.1189))*0.8998/71.85)</f>
        <v>0.80025150388820887</v>
      </c>
      <c r="AG49" s="20">
        <f>H49*5995</f>
        <v>4556.2</v>
      </c>
      <c r="AH49" s="20">
        <f>O49*8302</f>
        <v>64423.519999999997</v>
      </c>
      <c r="AI49" s="20">
        <f>P49*4364</f>
        <v>1440.1200000000001</v>
      </c>
      <c r="AJ49" s="19">
        <f>N49+O49</f>
        <v>8.85</v>
      </c>
      <c r="AK49" s="19">
        <f>O49/N49</f>
        <v>7.1192660550458706</v>
      </c>
      <c r="AL49" s="19">
        <f>N49/O49</f>
        <v>0.1404639175257732</v>
      </c>
      <c r="AM49" s="19">
        <f>EK49/EG49</f>
        <v>1.3097345132743363</v>
      </c>
      <c r="AN49" s="19">
        <f>O49/I49</f>
        <v>0.68672566371681409</v>
      </c>
      <c r="AO49" s="19">
        <f>(EL49/61.98+EM49/94.2)/(EG49/101.96)</f>
        <v>0.90197819949119462</v>
      </c>
      <c r="AP49" s="19">
        <f>1/AO49</f>
        <v>1.108674245745739</v>
      </c>
      <c r="AQ49" s="19">
        <f>(EG49/101.96)/((EK49/56.08)+(EL49/61.98)+(EM49/94.2))</f>
        <v>0.30457822941880092</v>
      </c>
      <c r="AR49" s="20">
        <f>1000*(4*(EE49/60.08)-11*(EL49/61.98+EM49/94.2)-2*(EH49/159.69+EF49/79.87))</f>
        <v>1559.3691959536438</v>
      </c>
      <c r="AS49" s="20">
        <f>1000*(6*(EK49/56.08)+2*(EJ49/40.3)+EG49/101.96)</f>
        <v>2400.527500349202</v>
      </c>
      <c r="AT49" s="20"/>
      <c r="AU49" s="19">
        <f>O49/G49</f>
        <v>0.18926829268292683</v>
      </c>
      <c r="AV49" s="19">
        <f>(O49/94.2)/(I49/101.96)</f>
        <v>0.74329669503785945</v>
      </c>
      <c r="AX49" s="20">
        <v>404</v>
      </c>
      <c r="AY49" s="20">
        <v>1591</v>
      </c>
      <c r="AZ49" s="20">
        <v>779</v>
      </c>
      <c r="BA49" s="22"/>
      <c r="BB49" s="22">
        <v>23</v>
      </c>
      <c r="BC49" s="22">
        <v>129</v>
      </c>
      <c r="BD49" s="22">
        <v>832</v>
      </c>
      <c r="BE49" s="22">
        <v>40</v>
      </c>
      <c r="BF49" s="22">
        <v>133</v>
      </c>
      <c r="BG49" s="22"/>
      <c r="BH49" s="22"/>
      <c r="BI49" s="36">
        <v>36</v>
      </c>
      <c r="BJ49" s="20">
        <v>330</v>
      </c>
      <c r="BK49" s="20">
        <v>16</v>
      </c>
      <c r="BL49" s="22"/>
      <c r="BM49" s="22"/>
      <c r="BN49" s="20"/>
      <c r="BO49" s="20">
        <v>208</v>
      </c>
      <c r="BP49" s="20"/>
      <c r="BQ49" s="22"/>
      <c r="BR49" s="22"/>
      <c r="BS49" s="22"/>
      <c r="BT49" s="22"/>
      <c r="BU49" s="22"/>
      <c r="BV49" s="22"/>
      <c r="BW49" s="19"/>
      <c r="BX49" s="19"/>
      <c r="BY49" s="19"/>
      <c r="BZ49" s="22"/>
      <c r="CA49" s="19"/>
      <c r="CB49" s="20"/>
      <c r="CC49" s="20">
        <v>33.5</v>
      </c>
      <c r="CD49" s="22"/>
      <c r="CE49" s="22"/>
      <c r="CG49" s="22"/>
      <c r="CH49" s="22">
        <f>BO49/0.635</f>
        <v>327.55905511811022</v>
      </c>
      <c r="CI49" s="22"/>
      <c r="CJ49" s="22"/>
      <c r="CK49" s="22"/>
      <c r="CL49" s="22"/>
      <c r="CM49" s="22"/>
      <c r="CN49" s="22"/>
      <c r="CO49" s="22"/>
      <c r="CP49" s="22"/>
      <c r="CQ49" s="22"/>
      <c r="CR49" s="22"/>
      <c r="CS49" s="22"/>
      <c r="CT49" s="22"/>
      <c r="CU49" s="22">
        <f>AZ49/BK49</f>
        <v>48.6875</v>
      </c>
      <c r="CV49" s="22"/>
      <c r="CW49" s="22"/>
      <c r="CX49" s="20">
        <f>AG49/BK49</f>
        <v>284.76249999999999</v>
      </c>
      <c r="CY49" s="22"/>
      <c r="CZ49" s="22"/>
      <c r="DA49" s="22"/>
      <c r="DB49" s="22">
        <f>BJ49/BK49</f>
        <v>20.625</v>
      </c>
      <c r="DC49" s="22">
        <f>AZ49/CC49</f>
        <v>23.253731343283583</v>
      </c>
      <c r="DD49" s="22"/>
      <c r="DE49" s="22"/>
      <c r="DF49" s="22"/>
      <c r="DG49" s="19">
        <f>BK49/BI49</f>
        <v>0.44444444444444442</v>
      </c>
      <c r="DH49" s="20"/>
      <c r="DI49" s="19"/>
      <c r="DJ49" s="22"/>
      <c r="DK49" s="22"/>
      <c r="DL49" s="22"/>
      <c r="DM49" s="22"/>
      <c r="DN49" s="76"/>
      <c r="DO49" s="22"/>
      <c r="DP49" s="20"/>
      <c r="DQ49" s="22"/>
      <c r="DR49" s="22"/>
      <c r="DS49" s="19"/>
      <c r="DT49" s="23">
        <f>1/AY49</f>
        <v>6.285355122564425E-4</v>
      </c>
      <c r="DU49" s="22">
        <f>BJ49/BI49</f>
        <v>9.1666666666666661</v>
      </c>
      <c r="DV49" s="22"/>
      <c r="DW49" s="22">
        <f>1.74+LOG(BK49/BI49)-1.92*LOG(BJ49/BI49)</f>
        <v>-0.45962848120371458</v>
      </c>
      <c r="DX49" s="22">
        <f>BK49*100/BJ49</f>
        <v>4.8484848484848486</v>
      </c>
      <c r="DY49" s="22">
        <f>CC49*100/BJ49</f>
        <v>10.151515151515152</v>
      </c>
      <c r="DZ49" s="19">
        <f>EK49*100/AY49</f>
        <v>0.95452228677099638</v>
      </c>
      <c r="EA49" s="23"/>
      <c r="EB49" s="19">
        <f>CC49/BK49</f>
        <v>2.09375</v>
      </c>
      <c r="EC49" s="19"/>
      <c r="ED49" s="19"/>
      <c r="EE49" s="19">
        <f t="shared" ref="EE49:EN50" si="106">100*G49/($G49+$H49+$I49+$J49+$K49+$L49+$M49+$N49+$O49+$P49)</f>
        <v>42.070569789431666</v>
      </c>
      <c r="EF49" s="19">
        <f t="shared" si="106"/>
        <v>0.779844708291904</v>
      </c>
      <c r="EG49" s="19">
        <f t="shared" si="106"/>
        <v>11.595059478550677</v>
      </c>
      <c r="EH49" s="19">
        <f t="shared" si="106"/>
        <v>7.4857909215814846</v>
      </c>
      <c r="EI49" s="19">
        <f t="shared" si="106"/>
        <v>0.12313337499345853</v>
      </c>
      <c r="EJ49" s="19">
        <f t="shared" si="106"/>
        <v>13.339448957624674</v>
      </c>
      <c r="EK49" s="19">
        <f t="shared" si="106"/>
        <v>15.186449582526551</v>
      </c>
      <c r="EL49" s="19">
        <f t="shared" si="106"/>
        <v>1.1184614895239151</v>
      </c>
      <c r="EM49" s="19">
        <f t="shared" si="106"/>
        <v>7.9626249162436515</v>
      </c>
      <c r="EN49" s="19">
        <f t="shared" si="106"/>
        <v>0.33861678123201094</v>
      </c>
      <c r="EO49" s="19">
        <f>SUM(EE49:EN49)</f>
        <v>99.999999999999972</v>
      </c>
    </row>
    <row r="50" spans="1:145" s="36" customFormat="1">
      <c r="A50" s="36" t="s">
        <v>163</v>
      </c>
      <c r="B50" s="36">
        <v>5</v>
      </c>
      <c r="C50" s="36" t="s">
        <v>176</v>
      </c>
      <c r="D50" s="1" t="s">
        <v>175</v>
      </c>
      <c r="E50" s="36" t="s">
        <v>161</v>
      </c>
      <c r="F50" s="74"/>
      <c r="G50" s="19">
        <v>40.520000000000003</v>
      </c>
      <c r="H50" s="19">
        <v>0.74</v>
      </c>
      <c r="I50" s="19">
        <v>10.43</v>
      </c>
      <c r="J50" s="19">
        <v>7.9</v>
      </c>
      <c r="K50" s="19">
        <v>0.11</v>
      </c>
      <c r="L50" s="19">
        <v>12.65</v>
      </c>
      <c r="M50" s="19">
        <v>16.23</v>
      </c>
      <c r="N50" s="19">
        <v>1.1100000000000001</v>
      </c>
      <c r="O50" s="19">
        <v>7.41</v>
      </c>
      <c r="P50" s="19">
        <v>0.32</v>
      </c>
      <c r="Q50" s="19">
        <v>0.56000000000000005</v>
      </c>
      <c r="R50" s="19">
        <v>2.11</v>
      </c>
      <c r="S50" s="19">
        <f>SUM(G50:R50)</f>
        <v>100.09</v>
      </c>
      <c r="U50" s="75"/>
      <c r="W50" s="19"/>
      <c r="X50" s="19"/>
      <c r="Y50" s="19"/>
      <c r="Z50" s="19"/>
      <c r="AA50" s="19"/>
      <c r="AB50" s="19"/>
      <c r="AC50" s="19"/>
      <c r="AD50" s="19"/>
      <c r="AF50" s="19">
        <f>(L50/40.31)/((L50/40.31)+(J50-(J50*0.1189))*0.8998/71.85)</f>
        <v>0.78261015203562034</v>
      </c>
      <c r="AG50" s="20">
        <f>H50*5995</f>
        <v>4436.3</v>
      </c>
      <c r="AH50" s="20">
        <f>O50*8302</f>
        <v>61517.82</v>
      </c>
      <c r="AI50" s="20">
        <f>P50*4364</f>
        <v>1396.48</v>
      </c>
      <c r="AJ50" s="19">
        <f>N50+O50</f>
        <v>8.52</v>
      </c>
      <c r="AK50" s="19">
        <f>O50/N50</f>
        <v>6.6756756756756754</v>
      </c>
      <c r="AL50" s="19">
        <f>N50/O50</f>
        <v>0.14979757085020243</v>
      </c>
      <c r="AM50" s="19">
        <f>EK50/EG50</f>
        <v>1.5560882070949185</v>
      </c>
      <c r="AN50" s="19">
        <f>O50/I50</f>
        <v>0.71045062320230112</v>
      </c>
      <c r="AO50" s="19">
        <f>(EL50/61.98+EM50/94.2)/(EG50/101.96)</f>
        <v>0.94404816090834387</v>
      </c>
      <c r="AP50" s="19"/>
      <c r="AQ50" s="19">
        <f>(EG50/101.96)/((EK50/56.08)+(EL50/61.98)+(EM50/94.2))</f>
        <v>0.26502713488604274</v>
      </c>
      <c r="AR50" s="20">
        <f>1000*(4*(EE50/60.08)-11*(EL50/61.98+EM50/94.2)-2*(EH50/159.69+EF50/79.87))</f>
        <v>1558.1799265117445</v>
      </c>
      <c r="AS50" s="20">
        <f>1000*(6*(EK50/56.08)+2*(EJ50/40.3)+EG50/101.96)</f>
        <v>2531.856407776439</v>
      </c>
      <c r="AT50" s="20"/>
      <c r="AU50" s="19">
        <f>O50/G50</f>
        <v>0.1828726554787759</v>
      </c>
      <c r="AV50" s="19">
        <f>(O50/94.2)/(I50/101.96)</f>
        <v>0.7689760673217263</v>
      </c>
      <c r="AX50" s="20"/>
      <c r="AY50" s="20"/>
      <c r="AZ50" s="20"/>
      <c r="BA50" s="22"/>
      <c r="BB50" s="22"/>
      <c r="BC50" s="22"/>
      <c r="BD50" s="22"/>
      <c r="BE50" s="22"/>
      <c r="BF50" s="22"/>
      <c r="BG50" s="22"/>
      <c r="BH50" s="22"/>
      <c r="BJ50" s="20"/>
      <c r="BK50" s="20"/>
      <c r="BL50" s="22"/>
      <c r="BM50" s="22"/>
      <c r="BN50" s="20"/>
      <c r="BO50" s="20"/>
      <c r="BP50" s="20"/>
      <c r="BQ50" s="22"/>
      <c r="BR50" s="22"/>
      <c r="BS50" s="22"/>
      <c r="BT50" s="22"/>
      <c r="BU50" s="22"/>
      <c r="BV50" s="22"/>
      <c r="BW50" s="19"/>
      <c r="BX50" s="19"/>
      <c r="BY50" s="19"/>
      <c r="BZ50" s="22"/>
      <c r="CA50" s="19"/>
      <c r="CB50" s="20"/>
      <c r="CC50" s="20"/>
      <c r="CD50" s="22"/>
      <c r="CE50" s="22"/>
      <c r="CG50" s="22"/>
      <c r="CH50" s="22"/>
      <c r="CI50" s="22"/>
      <c r="CJ50" s="22"/>
      <c r="CK50" s="22"/>
      <c r="CL50" s="22"/>
      <c r="CM50" s="22"/>
      <c r="CN50" s="22"/>
      <c r="CO50" s="22"/>
      <c r="CP50" s="22"/>
      <c r="CQ50" s="22"/>
      <c r="CR50" s="22"/>
      <c r="CS50" s="22"/>
      <c r="CT50" s="22"/>
      <c r="CU50" s="22"/>
      <c r="CV50" s="22"/>
      <c r="CW50" s="22"/>
      <c r="CX50" s="20"/>
      <c r="CY50" s="22"/>
      <c r="CZ50" s="22"/>
      <c r="DA50" s="22"/>
      <c r="DB50" s="22"/>
      <c r="DC50" s="22"/>
      <c r="DD50" s="22"/>
      <c r="DE50" s="22"/>
      <c r="DF50" s="22"/>
      <c r="DG50" s="19"/>
      <c r="DH50" s="20"/>
      <c r="DI50" s="19"/>
      <c r="DJ50" s="22"/>
      <c r="DK50" s="22"/>
      <c r="DL50" s="22"/>
      <c r="DM50" s="22"/>
      <c r="DN50" s="76"/>
      <c r="DO50" s="22"/>
      <c r="DP50" s="20"/>
      <c r="DQ50" s="22"/>
      <c r="DR50" s="22"/>
      <c r="DS50" s="19"/>
      <c r="DT50" s="23"/>
      <c r="DU50" s="22"/>
      <c r="DV50" s="22"/>
      <c r="DW50" s="22"/>
      <c r="DX50" s="22"/>
      <c r="DY50" s="22"/>
      <c r="DZ50" s="19"/>
      <c r="EA50" s="23"/>
      <c r="EB50" s="19"/>
      <c r="EC50" s="19"/>
      <c r="ED50" s="19"/>
      <c r="EE50" s="19">
        <f t="shared" si="106"/>
        <v>41.593102032436875</v>
      </c>
      <c r="EF50" s="19">
        <f t="shared" si="106"/>
        <v>0.75959761855881747</v>
      </c>
      <c r="EG50" s="19">
        <f t="shared" si="106"/>
        <v>10.706220488606036</v>
      </c>
      <c r="EH50" s="19">
        <f t="shared" si="106"/>
        <v>8.1092178197495386</v>
      </c>
      <c r="EI50" s="19">
        <f t="shared" si="106"/>
        <v>0.11291315951549989</v>
      </c>
      <c r="EJ50" s="19">
        <f t="shared" si="106"/>
        <v>12.985013344282487</v>
      </c>
      <c r="EK50" s="19">
        <f t="shared" si="106"/>
        <v>16.659823444877848</v>
      </c>
      <c r="EL50" s="19">
        <f t="shared" si="106"/>
        <v>1.1393964278382263</v>
      </c>
      <c r="EM50" s="19">
        <f t="shared" si="106"/>
        <v>7.606241018271402</v>
      </c>
      <c r="EN50" s="19">
        <f t="shared" si="106"/>
        <v>0.32847464586327241</v>
      </c>
      <c r="EO50" s="19">
        <f>SUM(EE50:EN50)</f>
        <v>99.999999999999986</v>
      </c>
    </row>
    <row r="51" spans="1:145" s="36" customFormat="1" ht="16">
      <c r="A51" s="36" t="s">
        <v>163</v>
      </c>
      <c r="B51" s="36">
        <v>5</v>
      </c>
      <c r="C51" s="36" t="s">
        <v>163</v>
      </c>
      <c r="D51" s="77" t="s">
        <v>200</v>
      </c>
      <c r="E51" s="36" t="s">
        <v>161</v>
      </c>
      <c r="F51" s="74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U51" s="75">
        <v>0.71053999999999995</v>
      </c>
      <c r="V51" s="36">
        <v>0.51207199999999997</v>
      </c>
      <c r="W51" s="19"/>
      <c r="X51" s="19"/>
      <c r="Y51" s="19"/>
      <c r="Z51" s="19"/>
      <c r="AA51" s="19"/>
      <c r="AB51" s="19"/>
      <c r="AC51" s="19"/>
      <c r="AD51" s="19"/>
      <c r="AF51" s="19"/>
      <c r="AG51" s="20"/>
      <c r="AH51" s="20"/>
      <c r="AI51" s="20"/>
      <c r="AJ51" s="19"/>
      <c r="AK51" s="19"/>
      <c r="AL51" s="19"/>
      <c r="AM51" s="19"/>
      <c r="AN51" s="19"/>
      <c r="AO51" s="19"/>
      <c r="AP51" s="19"/>
      <c r="AQ51" s="19"/>
      <c r="AR51" s="20"/>
      <c r="AS51" s="20"/>
      <c r="AT51" s="20"/>
      <c r="AV51" s="19"/>
      <c r="AX51" s="20"/>
      <c r="AY51" s="20"/>
      <c r="AZ51" s="20"/>
      <c r="BA51" s="22"/>
      <c r="BB51" s="22"/>
      <c r="BC51" s="22"/>
      <c r="BD51" s="22"/>
      <c r="BE51" s="22"/>
      <c r="BF51" s="22"/>
      <c r="BG51" s="22"/>
      <c r="BH51" s="22"/>
      <c r="BJ51" s="20"/>
      <c r="BK51" s="20"/>
      <c r="BL51" s="22"/>
      <c r="BM51" s="22"/>
      <c r="BN51" s="20"/>
      <c r="BO51" s="20"/>
      <c r="BP51" s="20"/>
      <c r="BQ51" s="22"/>
      <c r="BR51" s="22"/>
      <c r="BS51" s="22"/>
      <c r="BT51" s="22"/>
      <c r="BU51" s="22"/>
      <c r="BV51" s="22"/>
      <c r="BW51" s="19"/>
      <c r="BX51" s="19"/>
      <c r="BY51" s="19"/>
      <c r="BZ51" s="22"/>
      <c r="CA51" s="19"/>
      <c r="CB51" s="20"/>
      <c r="CC51" s="20"/>
      <c r="CD51" s="22"/>
      <c r="CE51" s="22"/>
      <c r="CG51" s="22"/>
      <c r="CH51" s="22"/>
      <c r="CI51" s="22"/>
      <c r="CJ51" s="22"/>
      <c r="CK51" s="22"/>
      <c r="CL51" s="22"/>
      <c r="CM51" s="22"/>
      <c r="CN51" s="22"/>
      <c r="CO51" s="22"/>
      <c r="CP51" s="22"/>
      <c r="CQ51" s="22"/>
      <c r="CR51" s="22"/>
      <c r="CS51" s="22"/>
      <c r="CT51" s="22"/>
      <c r="CU51" s="22"/>
      <c r="CV51" s="22"/>
      <c r="CW51" s="22"/>
      <c r="CX51" s="20"/>
      <c r="CY51" s="22"/>
      <c r="CZ51" s="22"/>
      <c r="DA51" s="22"/>
      <c r="DB51" s="22"/>
      <c r="DC51" s="22"/>
      <c r="DD51" s="22"/>
      <c r="DE51" s="22"/>
      <c r="DF51" s="22"/>
      <c r="DG51" s="19"/>
      <c r="DH51" s="20"/>
      <c r="DI51" s="19"/>
      <c r="DJ51" s="22"/>
      <c r="DK51" s="22"/>
      <c r="DL51" s="22"/>
      <c r="DM51" s="22"/>
      <c r="DN51" s="76"/>
      <c r="DO51" s="22"/>
      <c r="DP51" s="20"/>
      <c r="DQ51" s="22"/>
      <c r="DR51" s="22"/>
      <c r="DS51" s="19"/>
      <c r="DT51" s="23"/>
      <c r="DU51" s="22"/>
      <c r="DV51" s="22"/>
      <c r="DW51" s="22"/>
      <c r="DX51" s="22"/>
      <c r="DY51" s="22"/>
      <c r="DZ51" s="19"/>
      <c r="EA51" s="23"/>
      <c r="EB51" s="19"/>
      <c r="EC51" s="19"/>
      <c r="ED51" s="19"/>
      <c r="EE51" s="19"/>
      <c r="EF51" s="19"/>
      <c r="EG51" s="19"/>
      <c r="EH51" s="19"/>
      <c r="EI51" s="19"/>
      <c r="EJ51" s="19"/>
      <c r="EK51" s="19"/>
      <c r="EL51" s="19"/>
      <c r="EM51" s="19"/>
      <c r="EN51" s="19"/>
      <c r="EO51" s="19"/>
    </row>
    <row r="52" spans="1:145" s="36" customFormat="1">
      <c r="A52" s="36" t="s">
        <v>163</v>
      </c>
      <c r="B52" s="36">
        <v>5</v>
      </c>
      <c r="C52" s="36" t="s">
        <v>169</v>
      </c>
      <c r="D52" s="1" t="s">
        <v>194</v>
      </c>
      <c r="E52" s="36" t="s">
        <v>63</v>
      </c>
      <c r="F52" s="74"/>
      <c r="G52" s="19">
        <v>41.82</v>
      </c>
      <c r="H52" s="19">
        <v>0.79</v>
      </c>
      <c r="I52" s="19">
        <v>10.39</v>
      </c>
      <c r="J52" s="19">
        <v>7.57</v>
      </c>
      <c r="K52" s="19">
        <v>0.13</v>
      </c>
      <c r="L52" s="19">
        <v>12.56</v>
      </c>
      <c r="M52" s="19">
        <v>15.69</v>
      </c>
      <c r="N52" s="19">
        <v>1.1000000000000001</v>
      </c>
      <c r="O52" s="19">
        <v>7.73</v>
      </c>
      <c r="P52" s="19">
        <v>0.41</v>
      </c>
      <c r="Q52" s="19"/>
      <c r="R52" s="19"/>
      <c r="S52" s="19">
        <f>SUM(G52:R52)</f>
        <v>98.19</v>
      </c>
      <c r="U52" s="75"/>
      <c r="W52" s="19"/>
      <c r="X52" s="19"/>
      <c r="Y52" s="19"/>
      <c r="Z52" s="19"/>
      <c r="AA52" s="19"/>
      <c r="AB52" s="19"/>
      <c r="AC52" s="19"/>
      <c r="AD52" s="19"/>
      <c r="AF52" s="19"/>
      <c r="AG52" s="20"/>
      <c r="AH52" s="20"/>
      <c r="AI52" s="20"/>
      <c r="AJ52" s="19">
        <f t="shared" ref="AJ52:AJ58" si="107">N52+O52</f>
        <v>8.83</v>
      </c>
      <c r="AK52" s="19">
        <f t="shared" ref="AK52:AK58" si="108">O52/N52</f>
        <v>7.0272727272727273</v>
      </c>
      <c r="AL52" s="19">
        <f t="shared" ref="AL52:AL58" si="109">N52/O52</f>
        <v>0.14230271668822769</v>
      </c>
      <c r="AM52" s="19"/>
      <c r="AN52" s="19">
        <f t="shared" ref="AN52:AN58" si="110">O52/I52</f>
        <v>0.74398460057747839</v>
      </c>
      <c r="AO52" s="19"/>
      <c r="AP52" s="19"/>
      <c r="AQ52" s="19"/>
      <c r="AR52" s="20"/>
      <c r="AS52" s="20"/>
      <c r="AT52" s="20"/>
      <c r="AV52" s="19">
        <f t="shared" ref="AV52:AV58" si="111">(O52/94.2)/(I52/101.96)</f>
        <v>0.80527250397961447</v>
      </c>
      <c r="AX52" s="20"/>
      <c r="AY52" s="20"/>
      <c r="AZ52" s="20"/>
      <c r="BA52" s="22"/>
      <c r="BB52" s="22"/>
      <c r="BC52" s="22"/>
      <c r="BD52" s="22"/>
      <c r="BE52" s="22"/>
      <c r="BF52" s="22"/>
      <c r="BG52" s="22"/>
      <c r="BH52" s="22"/>
      <c r="BJ52" s="20"/>
      <c r="BK52" s="20"/>
      <c r="BL52" s="22"/>
      <c r="BM52" s="22"/>
      <c r="BN52" s="20"/>
      <c r="BO52" s="20"/>
      <c r="BP52" s="20"/>
      <c r="BQ52" s="22"/>
      <c r="BR52" s="22"/>
      <c r="BS52" s="22"/>
      <c r="BT52" s="22"/>
      <c r="BU52" s="22"/>
      <c r="BV52" s="22"/>
      <c r="BW52" s="19"/>
      <c r="BX52" s="19"/>
      <c r="BY52" s="19"/>
      <c r="BZ52" s="22"/>
      <c r="CA52" s="19"/>
      <c r="CB52" s="20"/>
      <c r="CC52" s="20"/>
      <c r="CD52" s="22"/>
      <c r="CE52" s="22"/>
      <c r="CG52" s="22"/>
      <c r="CH52" s="22"/>
      <c r="CI52" s="22"/>
      <c r="CJ52" s="22"/>
      <c r="CK52" s="22"/>
      <c r="CL52" s="22"/>
      <c r="CM52" s="22"/>
      <c r="CN52" s="22"/>
      <c r="CO52" s="22"/>
      <c r="CP52" s="22"/>
      <c r="CQ52" s="22"/>
      <c r="CR52" s="22"/>
      <c r="CS52" s="22"/>
      <c r="CT52" s="22"/>
      <c r="CU52" s="22"/>
      <c r="CV52" s="22"/>
      <c r="CW52" s="22"/>
      <c r="CX52" s="20"/>
      <c r="CY52" s="22"/>
      <c r="CZ52" s="22"/>
      <c r="DA52" s="22"/>
      <c r="DB52" s="22"/>
      <c r="DC52" s="22"/>
      <c r="DD52" s="22"/>
      <c r="DE52" s="22"/>
      <c r="DF52" s="22"/>
      <c r="DG52" s="19"/>
      <c r="DH52" s="20"/>
      <c r="DI52" s="19"/>
      <c r="DJ52" s="22"/>
      <c r="DK52" s="22"/>
      <c r="DL52" s="22"/>
      <c r="DM52" s="22"/>
      <c r="DN52" s="76"/>
      <c r="DO52" s="22"/>
      <c r="DP52" s="20"/>
      <c r="DQ52" s="22"/>
      <c r="DR52" s="22"/>
      <c r="DS52" s="19"/>
      <c r="DT52" s="23"/>
      <c r="DU52" s="22"/>
      <c r="DV52" s="22"/>
      <c r="DW52" s="22"/>
      <c r="DX52" s="22"/>
      <c r="DY52" s="22"/>
      <c r="DZ52" s="19"/>
      <c r="EA52" s="23"/>
      <c r="EB52" s="19"/>
      <c r="EC52" s="19"/>
      <c r="ED52" s="19"/>
      <c r="EE52" s="19"/>
      <c r="EF52" s="19"/>
      <c r="EG52" s="19"/>
      <c r="EH52" s="19"/>
      <c r="EI52" s="19"/>
      <c r="EJ52" s="19"/>
      <c r="EK52" s="19"/>
      <c r="EL52" s="19"/>
      <c r="EM52" s="19"/>
      <c r="EN52" s="19"/>
      <c r="EO52" s="19"/>
    </row>
    <row r="53" spans="1:145" s="36" customFormat="1">
      <c r="A53" s="36" t="s">
        <v>163</v>
      </c>
      <c r="B53" s="36">
        <v>5</v>
      </c>
      <c r="C53" s="36" t="s">
        <v>163</v>
      </c>
      <c r="D53" s="1" t="s">
        <v>199</v>
      </c>
      <c r="E53" s="36" t="s">
        <v>161</v>
      </c>
      <c r="F53" s="74"/>
      <c r="G53" s="19">
        <v>41.43</v>
      </c>
      <c r="H53" s="36">
        <v>0.28999999999999998</v>
      </c>
      <c r="I53" s="19">
        <v>9.8000000000000007</v>
      </c>
      <c r="J53" s="19">
        <v>9</v>
      </c>
      <c r="K53" s="19"/>
      <c r="L53" s="19">
        <v>13.4</v>
      </c>
      <c r="M53" s="19">
        <v>16.62</v>
      </c>
      <c r="N53" s="19">
        <v>1.64</v>
      </c>
      <c r="O53" s="19">
        <v>7.4</v>
      </c>
      <c r="P53" s="19"/>
      <c r="Q53" s="19">
        <v>1.1100000000000001</v>
      </c>
      <c r="R53" s="19"/>
      <c r="S53" s="19">
        <f>SUM(G53:R53)</f>
        <v>100.69000000000001</v>
      </c>
      <c r="U53" s="75"/>
      <c r="W53" s="19"/>
      <c r="X53" s="19"/>
      <c r="Y53" s="19"/>
      <c r="Z53" s="19"/>
      <c r="AA53" s="19"/>
      <c r="AB53" s="19"/>
      <c r="AC53" s="19"/>
      <c r="AD53" s="19"/>
      <c r="AF53" s="19">
        <f>(L53/40.31)/((L53/40.31)+(J53-(J53*0.1189))*0.8998/71.85)</f>
        <v>0.76997642249839726</v>
      </c>
      <c r="AG53" s="20">
        <f t="shared" ref="AG53:AG58" si="112">H53*5995</f>
        <v>1738.55</v>
      </c>
      <c r="AH53" s="20">
        <f t="shared" ref="AH53:AH58" si="113">O53*8302</f>
        <v>61434.8</v>
      </c>
      <c r="AI53" s="20"/>
      <c r="AJ53" s="19">
        <f t="shared" si="107"/>
        <v>9.0400000000000009</v>
      </c>
      <c r="AK53" s="19">
        <f t="shared" si="108"/>
        <v>4.51219512195122</v>
      </c>
      <c r="AL53" s="19">
        <f t="shared" si="109"/>
        <v>0.22162162162162161</v>
      </c>
      <c r="AM53" s="19">
        <f t="shared" ref="AM53:AM58" si="114">EK53/EG53</f>
        <v>1.6959183673469387</v>
      </c>
      <c r="AN53" s="19">
        <f t="shared" si="110"/>
        <v>0.75510204081632648</v>
      </c>
      <c r="AO53" s="19">
        <f t="shared" ref="AO53:AO58" si="115">(EL53/61.98+EM53/94.2)/(EG53/101.96)</f>
        <v>1.092599320143149</v>
      </c>
      <c r="AP53" s="19"/>
      <c r="AQ53" s="19">
        <f t="shared" ref="AQ53:AQ58" si="116">(EG53/101.96)/((EK53/56.08)+(EL53/61.98)+(EM53/94.2))</f>
        <v>0.23946490360571854</v>
      </c>
      <c r="AR53" s="20">
        <f>1000*(4*(EE53/60.08)-11*(EL53/61.98+EM53/94.2)-2*(EH53/159.69+EF53/79.87))</f>
        <v>1489.4170676406343</v>
      </c>
      <c r="AS53" s="20">
        <f>1000*(6*(EK53/56.08)+2*(EJ53/40.3)+EG53/101.96)</f>
        <v>2550.0126210162152</v>
      </c>
      <c r="AT53" s="20"/>
      <c r="AU53" s="19">
        <f t="shared" ref="AU53:AU58" si="117">O53/G53</f>
        <v>0.1786145305334299</v>
      </c>
      <c r="AV53" s="19">
        <f t="shared" si="111"/>
        <v>0.81730577581350994</v>
      </c>
      <c r="AX53" s="20"/>
      <c r="AY53" s="20"/>
      <c r="AZ53" s="20"/>
      <c r="BA53" s="22"/>
      <c r="BB53" s="22"/>
      <c r="BC53" s="22"/>
      <c r="BD53" s="22"/>
      <c r="BE53" s="22"/>
      <c r="BF53" s="22"/>
      <c r="BG53" s="22"/>
      <c r="BH53" s="22"/>
      <c r="BJ53" s="20"/>
      <c r="BK53" s="20"/>
      <c r="BL53" s="22"/>
      <c r="BM53" s="22"/>
      <c r="BN53" s="20"/>
      <c r="BO53" s="20"/>
      <c r="BP53" s="20"/>
      <c r="BQ53" s="22"/>
      <c r="BR53" s="22"/>
      <c r="BS53" s="22"/>
      <c r="BT53" s="22"/>
      <c r="BU53" s="22"/>
      <c r="BV53" s="22"/>
      <c r="BW53" s="19"/>
      <c r="BX53" s="19"/>
      <c r="BY53" s="19"/>
      <c r="BZ53" s="22"/>
      <c r="CA53" s="19"/>
      <c r="CB53" s="20"/>
      <c r="CC53" s="20"/>
      <c r="CD53" s="22"/>
      <c r="CE53" s="22"/>
      <c r="CG53" s="22"/>
      <c r="CH53" s="22"/>
      <c r="CI53" s="22"/>
      <c r="CJ53" s="22"/>
      <c r="CK53" s="22"/>
      <c r="CL53" s="22"/>
      <c r="CM53" s="22"/>
      <c r="CN53" s="22"/>
      <c r="CO53" s="22"/>
      <c r="CP53" s="22"/>
      <c r="CQ53" s="22"/>
      <c r="CR53" s="22"/>
      <c r="CS53" s="22"/>
      <c r="CT53" s="22"/>
      <c r="CU53" s="22"/>
      <c r="CV53" s="22"/>
      <c r="CW53" s="22"/>
      <c r="CX53" s="20"/>
      <c r="CY53" s="22"/>
      <c r="CZ53" s="22"/>
      <c r="DA53" s="22"/>
      <c r="DB53" s="22"/>
      <c r="DC53" s="22"/>
      <c r="DD53" s="22"/>
      <c r="DE53" s="22"/>
      <c r="DF53" s="22"/>
      <c r="DG53" s="19"/>
      <c r="DH53" s="20"/>
      <c r="DI53" s="19"/>
      <c r="DJ53" s="22"/>
      <c r="DK53" s="22"/>
      <c r="DL53" s="22"/>
      <c r="DM53" s="22"/>
      <c r="DN53" s="76"/>
      <c r="DO53" s="22"/>
      <c r="DP53" s="20"/>
      <c r="DQ53" s="22"/>
      <c r="DR53" s="22"/>
      <c r="DS53" s="19"/>
      <c r="DT53" s="23"/>
      <c r="DU53" s="22"/>
      <c r="DV53" s="22"/>
      <c r="DW53" s="22"/>
      <c r="DX53" s="22"/>
      <c r="DY53" s="22"/>
      <c r="DZ53" s="19"/>
      <c r="EA53" s="23"/>
      <c r="EB53" s="19"/>
      <c r="EC53" s="19"/>
      <c r="ED53" s="19"/>
      <c r="EE53" s="19">
        <f t="shared" ref="EE53:EH58" si="118">100*G53/($G53+$H53+$I53+$J53+$K53+$L53+$M53+$N53+$O53+$P53)</f>
        <v>41.604739907611965</v>
      </c>
      <c r="EF53" s="19">
        <f t="shared" si="118"/>
        <v>0.29122313717613973</v>
      </c>
      <c r="EG53" s="19">
        <f t="shared" si="118"/>
        <v>9.8413336011247239</v>
      </c>
      <c r="EH53" s="19">
        <f t="shared" si="118"/>
        <v>9.0379594296043368</v>
      </c>
      <c r="EI53" s="19"/>
      <c r="EJ53" s="19">
        <f t="shared" ref="EJ53:EN58" si="119">100*L53/($G53+$H53+$I53+$J53+$K53+$L53+$M53+$N53+$O53+$P53)</f>
        <v>13.456517372966458</v>
      </c>
      <c r="EK53" s="19">
        <f t="shared" si="119"/>
        <v>16.69009841333601</v>
      </c>
      <c r="EL53" s="19">
        <f t="shared" si="119"/>
        <v>1.6469170516167904</v>
      </c>
      <c r="EM53" s="19">
        <f t="shared" si="119"/>
        <v>7.4312110865635663</v>
      </c>
      <c r="EN53" s="19">
        <f t="shared" si="119"/>
        <v>0</v>
      </c>
      <c r="EO53" s="19">
        <f t="shared" ref="EO53:EO58" si="120">SUM(EE53:EN53)</f>
        <v>99.999999999999986</v>
      </c>
    </row>
    <row r="54" spans="1:145" s="36" customFormat="1">
      <c r="A54" s="36" t="s">
        <v>163</v>
      </c>
      <c r="B54" s="36">
        <v>5</v>
      </c>
      <c r="C54" s="36" t="s">
        <v>163</v>
      </c>
      <c r="D54" s="1" t="s">
        <v>173</v>
      </c>
      <c r="E54" s="36" t="s">
        <v>197</v>
      </c>
      <c r="F54" s="74"/>
      <c r="G54" s="19">
        <v>42.28</v>
      </c>
      <c r="H54" s="19">
        <v>0.48</v>
      </c>
      <c r="I54" s="19">
        <v>10.44</v>
      </c>
      <c r="J54" s="19">
        <v>7.11</v>
      </c>
      <c r="K54" s="19"/>
      <c r="L54" s="19">
        <v>13.08</v>
      </c>
      <c r="M54" s="19">
        <v>16.68</v>
      </c>
      <c r="N54" s="19">
        <v>1.76</v>
      </c>
      <c r="O54" s="19">
        <v>7.45</v>
      </c>
      <c r="P54" s="19">
        <v>0.41</v>
      </c>
      <c r="Q54" s="19">
        <v>0.36</v>
      </c>
      <c r="R54" s="19"/>
      <c r="S54" s="19">
        <f>SUM(G54:R54)</f>
        <v>100.05</v>
      </c>
      <c r="U54" s="75"/>
      <c r="W54" s="19"/>
      <c r="X54" s="19"/>
      <c r="Y54" s="19"/>
      <c r="Z54" s="19"/>
      <c r="AA54" s="19"/>
      <c r="AB54" s="19"/>
      <c r="AC54" s="19"/>
      <c r="AD54" s="19"/>
      <c r="AF54" s="19">
        <f>(L54/40.31)/((L54/40.31)+(J54-(J54*0.1189))*0.8998/71.85)</f>
        <v>0.80529609363642096</v>
      </c>
      <c r="AG54" s="20">
        <f t="shared" si="112"/>
        <v>2877.6</v>
      </c>
      <c r="AH54" s="20">
        <f t="shared" si="113"/>
        <v>61849.9</v>
      </c>
      <c r="AI54" s="20">
        <f>P54*4364</f>
        <v>1789.2399999999998</v>
      </c>
      <c r="AJ54" s="19">
        <f t="shared" si="107"/>
        <v>9.2100000000000009</v>
      </c>
      <c r="AK54" s="19">
        <f t="shared" si="108"/>
        <v>4.2329545454545459</v>
      </c>
      <c r="AL54" s="19">
        <f t="shared" si="109"/>
        <v>0.23624161073825503</v>
      </c>
      <c r="AM54" s="19">
        <f t="shared" si="114"/>
        <v>1.5977011494252873</v>
      </c>
      <c r="AN54" s="19">
        <f t="shared" si="110"/>
        <v>0.71360153256704983</v>
      </c>
      <c r="AO54" s="19">
        <f t="shared" si="115"/>
        <v>1.0497124375558731</v>
      </c>
      <c r="AP54" s="19"/>
      <c r="AQ54" s="19">
        <f t="shared" si="116"/>
        <v>0.25287518967385259</v>
      </c>
      <c r="AR54" s="20">
        <f>1000*(4*(EE54/60.08)-11*(EL54/61.98+EM54/94.2)-2*(EH54/159.69+EF54/79.87))</f>
        <v>1536.2925316730057</v>
      </c>
      <c r="AS54" s="20">
        <f>1000*(6*(EK54/56.08)+2*(EJ54/40.3)+EG54/101.96)</f>
        <v>2544.0044607532723</v>
      </c>
      <c r="AT54" s="20"/>
      <c r="AU54" s="19">
        <f t="shared" si="117"/>
        <v>0.17620624408703878</v>
      </c>
      <c r="AV54" s="19">
        <f t="shared" si="111"/>
        <v>0.77238654204391077</v>
      </c>
      <c r="AX54" s="20"/>
      <c r="AY54" s="20"/>
      <c r="AZ54" s="20"/>
      <c r="BA54" s="22"/>
      <c r="BB54" s="22"/>
      <c r="BC54" s="22"/>
      <c r="BD54" s="22"/>
      <c r="BE54" s="22"/>
      <c r="BF54" s="22"/>
      <c r="BG54" s="22"/>
      <c r="BH54" s="22"/>
      <c r="BJ54" s="20"/>
      <c r="BK54" s="20"/>
      <c r="BL54" s="22"/>
      <c r="BM54" s="22"/>
      <c r="BN54" s="20"/>
      <c r="BO54" s="20"/>
      <c r="BP54" s="20"/>
      <c r="BQ54" s="22"/>
      <c r="BR54" s="22"/>
      <c r="BS54" s="22"/>
      <c r="BT54" s="22"/>
      <c r="BU54" s="22"/>
      <c r="BV54" s="22"/>
      <c r="BW54" s="19"/>
      <c r="BX54" s="19"/>
      <c r="BY54" s="19"/>
      <c r="BZ54" s="22"/>
      <c r="CA54" s="19"/>
      <c r="CB54" s="20"/>
      <c r="CC54" s="20"/>
      <c r="CD54" s="22"/>
      <c r="CE54" s="22"/>
      <c r="CG54" s="22"/>
      <c r="CH54" s="22"/>
      <c r="CI54" s="22"/>
      <c r="CJ54" s="22"/>
      <c r="CK54" s="22"/>
      <c r="CL54" s="22"/>
      <c r="CM54" s="22"/>
      <c r="CN54" s="22"/>
      <c r="CO54" s="22"/>
      <c r="CP54" s="22"/>
      <c r="CQ54" s="22"/>
      <c r="CR54" s="22"/>
      <c r="CS54" s="22"/>
      <c r="CT54" s="22"/>
      <c r="CU54" s="22"/>
      <c r="CV54" s="22"/>
      <c r="CW54" s="22"/>
      <c r="CX54" s="20"/>
      <c r="CY54" s="22"/>
      <c r="CZ54" s="22"/>
      <c r="DA54" s="22"/>
      <c r="DB54" s="22"/>
      <c r="DC54" s="22"/>
      <c r="DD54" s="22"/>
      <c r="DE54" s="22"/>
      <c r="DF54" s="22"/>
      <c r="DG54" s="19"/>
      <c r="DH54" s="20"/>
      <c r="DI54" s="19"/>
      <c r="DJ54" s="22"/>
      <c r="DK54" s="22"/>
      <c r="DL54" s="22"/>
      <c r="DM54" s="22"/>
      <c r="DN54" s="76"/>
      <c r="DO54" s="22"/>
      <c r="DP54" s="20"/>
      <c r="DQ54" s="22"/>
      <c r="DR54" s="22"/>
      <c r="DS54" s="19"/>
      <c r="DT54" s="23"/>
      <c r="DU54" s="22"/>
      <c r="DV54" s="22"/>
      <c r="DW54" s="22"/>
      <c r="DX54" s="22"/>
      <c r="DY54" s="22"/>
      <c r="DZ54" s="19"/>
      <c r="EA54" s="23"/>
      <c r="EB54" s="19"/>
      <c r="EC54" s="19"/>
      <c r="ED54" s="19"/>
      <c r="EE54" s="19">
        <f t="shared" si="118"/>
        <v>42.411475574280267</v>
      </c>
      <c r="EF54" s="19">
        <f t="shared" si="118"/>
        <v>0.48149262714414687</v>
      </c>
      <c r="EG54" s="19">
        <f t="shared" si="118"/>
        <v>10.472464640385194</v>
      </c>
      <c r="EH54" s="19">
        <f t="shared" si="118"/>
        <v>7.1321095395726752</v>
      </c>
      <c r="EI54" s="19"/>
      <c r="EJ54" s="19">
        <f t="shared" si="119"/>
        <v>13.120674089678003</v>
      </c>
      <c r="EK54" s="19">
        <f t="shared" si="119"/>
        <v>16.731868793259103</v>
      </c>
      <c r="EL54" s="19">
        <f t="shared" si="119"/>
        <v>1.7654729661952051</v>
      </c>
      <c r="EM54" s="19">
        <f t="shared" si="119"/>
        <v>7.4731668171331131</v>
      </c>
      <c r="EN54" s="19">
        <f t="shared" si="119"/>
        <v>0.41127495235229211</v>
      </c>
      <c r="EO54" s="19">
        <f t="shared" si="120"/>
        <v>99.999999999999986</v>
      </c>
    </row>
    <row r="55" spans="1:145" s="36" customFormat="1" ht="15.5" customHeight="1">
      <c r="A55" s="36" t="s">
        <v>163</v>
      </c>
      <c r="B55" s="36">
        <v>5</v>
      </c>
      <c r="C55" s="36" t="s">
        <v>163</v>
      </c>
      <c r="D55" s="1" t="s">
        <v>196</v>
      </c>
      <c r="E55" s="36" t="s">
        <v>161</v>
      </c>
      <c r="F55" s="74"/>
      <c r="G55" s="19">
        <v>41.57</v>
      </c>
      <c r="H55" s="19">
        <v>1.24</v>
      </c>
      <c r="I55" s="19">
        <v>10.89</v>
      </c>
      <c r="J55" s="19">
        <v>8.52</v>
      </c>
      <c r="K55" s="19"/>
      <c r="L55" s="19">
        <v>12.26</v>
      </c>
      <c r="M55" s="19">
        <v>16.05</v>
      </c>
      <c r="N55" s="19">
        <v>1.01</v>
      </c>
      <c r="O55" s="19">
        <v>7.1</v>
      </c>
      <c r="P55" s="19">
        <v>1.18</v>
      </c>
      <c r="Q55" s="19">
        <v>0.25</v>
      </c>
      <c r="R55" s="19"/>
      <c r="S55" s="19">
        <f>SUM(G55:R55)</f>
        <v>100.07000000000001</v>
      </c>
      <c r="U55" s="75"/>
      <c r="W55" s="19"/>
      <c r="X55" s="19"/>
      <c r="Y55" s="19"/>
      <c r="Z55" s="19"/>
      <c r="AA55" s="19"/>
      <c r="AB55" s="19"/>
      <c r="AC55" s="19"/>
      <c r="AD55" s="19"/>
      <c r="AF55" s="19">
        <f>(L55/40.31)/((L55/40.31)+(J55-(J55*0.1189))*0.8998/71.85)</f>
        <v>0.76388053773823061</v>
      </c>
      <c r="AG55" s="20">
        <f t="shared" si="112"/>
        <v>7433.8</v>
      </c>
      <c r="AH55" s="20">
        <f t="shared" si="113"/>
        <v>58944.2</v>
      </c>
      <c r="AI55" s="20">
        <f>P55*4364</f>
        <v>5149.5199999999995</v>
      </c>
      <c r="AJ55" s="19">
        <f t="shared" si="107"/>
        <v>8.11</v>
      </c>
      <c r="AK55" s="19">
        <f t="shared" si="108"/>
        <v>7.0297029702970297</v>
      </c>
      <c r="AL55" s="19">
        <f t="shared" si="109"/>
        <v>0.14225352112676057</v>
      </c>
      <c r="AM55" s="19">
        <f t="shared" si="114"/>
        <v>1.4738292011019285</v>
      </c>
      <c r="AN55" s="19">
        <f t="shared" si="110"/>
        <v>0.65197428833792459</v>
      </c>
      <c r="AO55" s="19">
        <f t="shared" si="115"/>
        <v>0.85825348800330159</v>
      </c>
      <c r="AP55" s="19"/>
      <c r="AQ55" s="19">
        <f t="shared" si="116"/>
        <v>0.28265775574493401</v>
      </c>
      <c r="AR55" s="20">
        <f>1000*(4*(EE55/60.08)-11*(EL55/61.98+EM55/94.2)-2*(EH55/159.69+EF55/79.87))</f>
        <v>1624.4715697501165</v>
      </c>
      <c r="AS55" s="20">
        <f>1000*(6*(EK55/56.08)+2*(EJ55/40.3)+EG55/101.96)</f>
        <v>2436.8193191187306</v>
      </c>
      <c r="AT55" s="20"/>
      <c r="AU55" s="19">
        <f t="shared" si="117"/>
        <v>0.17079624729372142</v>
      </c>
      <c r="AV55" s="19">
        <f t="shared" si="111"/>
        <v>0.70568257366172815</v>
      </c>
      <c r="AX55" s="20"/>
      <c r="AY55" s="20"/>
      <c r="AZ55" s="20"/>
      <c r="BA55" s="22"/>
      <c r="BB55" s="22"/>
      <c r="BC55" s="22"/>
      <c r="BD55" s="22"/>
      <c r="BE55" s="22"/>
      <c r="BF55" s="22"/>
      <c r="BG55" s="22"/>
      <c r="BH55" s="22"/>
      <c r="BJ55" s="20"/>
      <c r="BK55" s="20"/>
      <c r="BL55" s="22"/>
      <c r="BM55" s="22"/>
      <c r="BN55" s="20"/>
      <c r="BO55" s="20"/>
      <c r="BP55" s="20"/>
      <c r="BQ55" s="22"/>
      <c r="BR55" s="22"/>
      <c r="BS55" s="22"/>
      <c r="BT55" s="22"/>
      <c r="BU55" s="22"/>
      <c r="BV55" s="22"/>
      <c r="BW55" s="19"/>
      <c r="BX55" s="19"/>
      <c r="BY55" s="19"/>
      <c r="BZ55" s="22"/>
      <c r="CA55" s="19"/>
      <c r="CB55" s="20"/>
      <c r="CC55" s="20"/>
      <c r="CD55" s="22"/>
      <c r="CE55" s="22"/>
      <c r="CG55" s="22"/>
      <c r="CH55" s="22"/>
      <c r="CI55" s="22"/>
      <c r="CJ55" s="22"/>
      <c r="CK55" s="22"/>
      <c r="CL55" s="22"/>
      <c r="CM55" s="22"/>
      <c r="CN55" s="22"/>
      <c r="CO55" s="22"/>
      <c r="CP55" s="22"/>
      <c r="CQ55" s="22"/>
      <c r="CR55" s="22"/>
      <c r="CS55" s="22"/>
      <c r="CT55" s="22"/>
      <c r="CU55" s="22"/>
      <c r="CV55" s="22"/>
      <c r="CW55" s="22"/>
      <c r="CX55" s="20"/>
      <c r="CY55" s="22"/>
      <c r="CZ55" s="22"/>
      <c r="DA55" s="22"/>
      <c r="DB55" s="22"/>
      <c r="DC55" s="22"/>
      <c r="DD55" s="22"/>
      <c r="DE55" s="22"/>
      <c r="DF55" s="22"/>
      <c r="DG55" s="19"/>
      <c r="DH55" s="20"/>
      <c r="DI55" s="19"/>
      <c r="DJ55" s="22"/>
      <c r="DK55" s="22"/>
      <c r="DL55" s="22"/>
      <c r="DM55" s="22"/>
      <c r="DN55" s="76"/>
      <c r="DO55" s="22"/>
      <c r="DP55" s="20"/>
      <c r="DQ55" s="22"/>
      <c r="DR55" s="22"/>
      <c r="DS55" s="19"/>
      <c r="DT55" s="23"/>
      <c r="DU55" s="22"/>
      <c r="DV55" s="22"/>
      <c r="DW55" s="22"/>
      <c r="DX55" s="22"/>
      <c r="DY55" s="22"/>
      <c r="DZ55" s="19"/>
      <c r="EA55" s="23"/>
      <c r="EB55" s="19"/>
      <c r="EC55" s="19"/>
      <c r="ED55" s="19"/>
      <c r="EE55" s="19">
        <f t="shared" si="118"/>
        <v>41.64496092967341</v>
      </c>
      <c r="EF55" s="19">
        <f t="shared" si="118"/>
        <v>1.2422360248447204</v>
      </c>
      <c r="EG55" s="19">
        <f t="shared" si="118"/>
        <v>10.909637347225004</v>
      </c>
      <c r="EH55" s="19">
        <f t="shared" si="118"/>
        <v>8.5353636545782408</v>
      </c>
      <c r="EI55" s="19"/>
      <c r="EJ55" s="19">
        <f t="shared" si="119"/>
        <v>12.282107794029251</v>
      </c>
      <c r="EK55" s="19">
        <f t="shared" si="119"/>
        <v>16.078942095772391</v>
      </c>
      <c r="EL55" s="19">
        <f t="shared" si="119"/>
        <v>1.0118212783009417</v>
      </c>
      <c r="EM55" s="19">
        <f t="shared" si="119"/>
        <v>7.1128030454818667</v>
      </c>
      <c r="EN55" s="19">
        <f t="shared" si="119"/>
        <v>1.1821278300941693</v>
      </c>
      <c r="EO55" s="19">
        <f t="shared" si="120"/>
        <v>100</v>
      </c>
    </row>
    <row r="56" spans="1:145" s="36" customFormat="1">
      <c r="A56" s="36" t="s">
        <v>170</v>
      </c>
      <c r="B56" s="36">
        <v>5</v>
      </c>
      <c r="C56" s="36" t="s">
        <v>218</v>
      </c>
      <c r="D56" s="36" t="s">
        <v>180</v>
      </c>
      <c r="E56" s="36" t="s">
        <v>63</v>
      </c>
      <c r="F56" s="36">
        <v>0.46500000000000002</v>
      </c>
      <c r="G56" s="19">
        <v>41.03</v>
      </c>
      <c r="H56" s="19">
        <v>0.59</v>
      </c>
      <c r="I56" s="19">
        <v>12.39</v>
      </c>
      <c r="J56" s="19">
        <v>6.6188000000000002</v>
      </c>
      <c r="K56" s="19">
        <v>0.1</v>
      </c>
      <c r="L56" s="19">
        <v>13.09</v>
      </c>
      <c r="M56" s="19">
        <v>15.5</v>
      </c>
      <c r="N56" s="19">
        <v>1.04</v>
      </c>
      <c r="O56" s="19">
        <v>8.86</v>
      </c>
      <c r="P56" s="19">
        <v>0.36</v>
      </c>
      <c r="Q56" s="19">
        <v>0.86</v>
      </c>
      <c r="R56" s="19"/>
      <c r="S56" s="19">
        <f>SUM(G56:Q56)</f>
        <v>100.43880000000001</v>
      </c>
      <c r="U56" s="75">
        <v>0.71036493292457403</v>
      </c>
      <c r="V56" s="75"/>
      <c r="W56" s="19"/>
      <c r="X56" s="19"/>
      <c r="Y56" s="19"/>
      <c r="Z56" s="19"/>
      <c r="AA56" s="19"/>
      <c r="AB56" s="22"/>
      <c r="AC56" s="22"/>
      <c r="AF56" s="19">
        <f>(L56/40.31)/((L56/40.31)+(J56-(J56*0.15))*0.8998/71.85)</f>
        <v>0.82171602499621277</v>
      </c>
      <c r="AG56" s="20">
        <f t="shared" si="112"/>
        <v>3537.0499999999997</v>
      </c>
      <c r="AH56" s="20">
        <f t="shared" si="113"/>
        <v>73555.72</v>
      </c>
      <c r="AI56" s="20">
        <f>P56*4364</f>
        <v>1571.04</v>
      </c>
      <c r="AJ56" s="19">
        <f t="shared" si="107"/>
        <v>9.8999999999999986</v>
      </c>
      <c r="AK56" s="19">
        <f t="shared" si="108"/>
        <v>8.5192307692307683</v>
      </c>
      <c r="AL56" s="19">
        <f t="shared" si="109"/>
        <v>0.11738148984198647</v>
      </c>
      <c r="AM56" s="19">
        <f t="shared" si="114"/>
        <v>1.2510088781275222</v>
      </c>
      <c r="AN56" s="19">
        <f t="shared" si="110"/>
        <v>0.71509281678773196</v>
      </c>
      <c r="AO56" s="19">
        <f t="shared" si="115"/>
        <v>0.91208369863105787</v>
      </c>
      <c r="AP56" s="19">
        <f>1/AO56</f>
        <v>1.0963906070253151</v>
      </c>
      <c r="AQ56" s="19">
        <f t="shared" si="116"/>
        <v>0.31381762441529382</v>
      </c>
      <c r="AR56" s="20">
        <f>1000*(4*(EE56/60.08)-11*(EL56/61.98*2+EM56/94.2*2)-2*(EH56/159.69*2+EF56/79.87))</f>
        <v>113.23702816326575</v>
      </c>
      <c r="AS56" s="20">
        <f>1000*(6*(EK56/56.08)+2*(EJ56/40.3)+EG56/101.96*2)</f>
        <v>2561.7997983225437</v>
      </c>
      <c r="AT56" s="19"/>
      <c r="AU56" s="19">
        <f t="shared" si="117"/>
        <v>0.21593955642213014</v>
      </c>
      <c r="AV56" s="19">
        <f t="shared" si="111"/>
        <v>0.77400067515580839</v>
      </c>
      <c r="AW56" s="19"/>
      <c r="AX56" s="20">
        <v>458</v>
      </c>
      <c r="AY56" s="20">
        <v>1727</v>
      </c>
      <c r="AZ56" s="20">
        <v>617</v>
      </c>
      <c r="BA56" s="22">
        <v>35</v>
      </c>
      <c r="BB56" s="22">
        <v>19</v>
      </c>
      <c r="BC56" s="22">
        <v>112</v>
      </c>
      <c r="BD56" s="22">
        <v>830</v>
      </c>
      <c r="BE56" s="22">
        <v>40</v>
      </c>
      <c r="BF56" s="22">
        <v>153</v>
      </c>
      <c r="BG56" s="22"/>
      <c r="BH56" s="22"/>
      <c r="BI56" s="36">
        <v>35</v>
      </c>
      <c r="BJ56" s="20">
        <v>264</v>
      </c>
      <c r="BK56" s="20">
        <v>13</v>
      </c>
      <c r="BL56" s="22">
        <v>7.4</v>
      </c>
      <c r="BM56" s="22">
        <v>0.75</v>
      </c>
      <c r="BN56" s="20">
        <v>65</v>
      </c>
      <c r="BO56" s="20">
        <v>156</v>
      </c>
      <c r="BP56" s="20"/>
      <c r="BQ56" s="22">
        <v>71</v>
      </c>
      <c r="BR56" s="22">
        <v>14</v>
      </c>
      <c r="BS56" s="22">
        <v>2.7</v>
      </c>
      <c r="BT56" s="22"/>
      <c r="BU56" s="22">
        <v>1.1000000000000001</v>
      </c>
      <c r="BV56" s="22"/>
      <c r="BW56" s="19"/>
      <c r="BX56" s="19"/>
      <c r="BY56" s="19"/>
      <c r="BZ56" s="22">
        <v>2</v>
      </c>
      <c r="CA56" s="19">
        <v>0.33</v>
      </c>
      <c r="CB56" s="20"/>
      <c r="CC56" s="20">
        <v>30</v>
      </c>
      <c r="CD56" s="22">
        <v>9.8000000000000007</v>
      </c>
      <c r="CE56" s="22"/>
      <c r="CG56" s="22">
        <f>BN56/0.242</f>
        <v>268.59504132231405</v>
      </c>
      <c r="CH56" s="22">
        <f>BO56/0.635</f>
        <v>245.66929133858267</v>
      </c>
      <c r="CI56" s="22"/>
      <c r="CJ56" s="22">
        <f>BQ56/0.48</f>
        <v>147.91666666666669</v>
      </c>
      <c r="CK56" s="22">
        <f>BR56/0.156</f>
        <v>89.743589743589737</v>
      </c>
      <c r="CL56" s="22">
        <f>BS56/0.0591</f>
        <v>45.685279187817265</v>
      </c>
      <c r="CM56" s="22"/>
      <c r="CN56" s="22">
        <f>BU56/0.0376</f>
        <v>29.25531914893617</v>
      </c>
      <c r="CO56" s="22"/>
      <c r="CP56" s="22"/>
      <c r="CQ56" s="22"/>
      <c r="CR56" s="22"/>
      <c r="CS56" s="22">
        <f>BZ56/0.166</f>
        <v>12.048192771084336</v>
      </c>
      <c r="CT56" s="22">
        <f>CA56/0.024</f>
        <v>13.75</v>
      </c>
      <c r="CU56" s="22">
        <f>AZ56/BK56</f>
        <v>47.46153846153846</v>
      </c>
      <c r="CV56" s="22">
        <f>AZ56/BN56</f>
        <v>9.4923076923076923</v>
      </c>
      <c r="CW56" s="22">
        <f>BN56/BK56</f>
        <v>5</v>
      </c>
      <c r="CX56" s="20">
        <f>AG56/BK56</f>
        <v>272.08076923076919</v>
      </c>
      <c r="CY56" s="22"/>
      <c r="CZ56" s="22">
        <f>BK56/CD56</f>
        <v>1.3265306122448979</v>
      </c>
      <c r="DA56" s="22">
        <f>AX56/BR56</f>
        <v>32.714285714285715</v>
      </c>
      <c r="DB56" s="22">
        <f>BJ56/BK56</f>
        <v>20.307692307692307</v>
      </c>
      <c r="DC56" s="22">
        <f>AZ56/CC56</f>
        <v>20.566666666666666</v>
      </c>
      <c r="DD56" s="22">
        <f>CC56/BM56</f>
        <v>40</v>
      </c>
      <c r="DE56" s="22">
        <f>BM56/BZ56</f>
        <v>0.375</v>
      </c>
      <c r="DF56" s="22">
        <f>CC56/BZ56</f>
        <v>15</v>
      </c>
      <c r="DG56" s="19">
        <f>BK56/BI56</f>
        <v>0.37142857142857144</v>
      </c>
      <c r="DH56" s="20">
        <f>AH56/BN56</f>
        <v>1131.6264615384616</v>
      </c>
      <c r="DI56" s="19">
        <f>(BK56/0.46)/((O56/0.023)*(CD56/0.017))^0.5</f>
        <v>5.9971374205868247E-2</v>
      </c>
      <c r="DJ56" s="22">
        <f>BN56/CA56</f>
        <v>196.96969696969697</v>
      </c>
      <c r="DK56" s="22">
        <f>CG56/CT56</f>
        <v>19.53418482344102</v>
      </c>
      <c r="DL56" s="22">
        <f>CG56/CK56</f>
        <v>2.9929161747343569</v>
      </c>
      <c r="DM56" s="22">
        <f>BN56/BZ56</f>
        <v>32.5</v>
      </c>
      <c r="DN56" s="76">
        <f>BL56/BQ56</f>
        <v>0.10422535211267606</v>
      </c>
      <c r="DO56" s="22">
        <f>BR56/BZ56</f>
        <v>7</v>
      </c>
      <c r="DP56" s="20">
        <f>AY56/BZ56</f>
        <v>863.5</v>
      </c>
      <c r="DQ56" s="22">
        <f>AY56/BQ56</f>
        <v>24.323943661971832</v>
      </c>
      <c r="DR56" s="22"/>
      <c r="DS56" s="19"/>
      <c r="DT56" s="23">
        <f>1/AY56</f>
        <v>5.7903879559930511E-4</v>
      </c>
      <c r="DU56" s="22">
        <f>BJ56/BI56</f>
        <v>7.5428571428571427</v>
      </c>
      <c r="DV56" s="22">
        <f>BK56/BM56</f>
        <v>17.333333333333332</v>
      </c>
      <c r="DW56" s="22">
        <f>1.74+LOG(BK56/BI56)-1.92*LOG(BJ56/BI56)</f>
        <v>-0.37499358648098524</v>
      </c>
      <c r="DX56" s="22">
        <f>BK56*100/BJ56</f>
        <v>4.9242424242424239</v>
      </c>
      <c r="DY56" s="22">
        <f>CC56*100/BJ56</f>
        <v>11.363636363636363</v>
      </c>
      <c r="DZ56" s="19">
        <f>EK56*100/AY56</f>
        <v>0.90130643588687831</v>
      </c>
      <c r="EA56" s="23"/>
      <c r="EB56" s="19">
        <f>CC56/BK56</f>
        <v>2.3076923076923075</v>
      </c>
      <c r="EC56" s="19"/>
      <c r="ED56" s="19"/>
      <c r="EE56" s="19">
        <f t="shared" si="118"/>
        <v>41.203549349861611</v>
      </c>
      <c r="EF56" s="19">
        <f t="shared" si="118"/>
        <v>0.59249559143110775</v>
      </c>
      <c r="EG56" s="19">
        <f t="shared" si="118"/>
        <v>12.442407420053263</v>
      </c>
      <c r="EH56" s="19">
        <f t="shared" si="118"/>
        <v>6.6467963060410442</v>
      </c>
      <c r="EI56" s="19">
        <f>100*K56/($G56+$H56+$I56+$J56+$K56+$L56+$M56+$N56+$O56+$P56)</f>
        <v>0.10042298159849283</v>
      </c>
      <c r="EJ56" s="19">
        <f t="shared" si="119"/>
        <v>13.145368291242713</v>
      </c>
      <c r="EK56" s="19">
        <f t="shared" si="119"/>
        <v>15.565562147766389</v>
      </c>
      <c r="EL56" s="19">
        <f t="shared" si="119"/>
        <v>1.0443990086243256</v>
      </c>
      <c r="EM56" s="19">
        <f t="shared" si="119"/>
        <v>8.897476169626465</v>
      </c>
      <c r="EN56" s="19">
        <f t="shared" si="119"/>
        <v>0.36152273375457422</v>
      </c>
      <c r="EO56" s="19">
        <f t="shared" si="120"/>
        <v>99.999999999999986</v>
      </c>
    </row>
    <row r="57" spans="1:145" s="36" customFormat="1">
      <c r="A57" s="36" t="s">
        <v>170</v>
      </c>
      <c r="B57" s="36">
        <v>5</v>
      </c>
      <c r="C57" s="36" t="s">
        <v>217</v>
      </c>
      <c r="D57" s="36" t="s">
        <v>180</v>
      </c>
      <c r="E57" s="36" t="s">
        <v>63</v>
      </c>
      <c r="F57" s="36">
        <v>0.46500000000000002</v>
      </c>
      <c r="G57" s="19">
        <v>41.52</v>
      </c>
      <c r="H57" s="19">
        <v>0.76</v>
      </c>
      <c r="I57" s="19">
        <v>12.05</v>
      </c>
      <c r="J57" s="19">
        <v>7.0968</v>
      </c>
      <c r="K57" s="19">
        <v>0.11</v>
      </c>
      <c r="L57" s="19">
        <v>12.76</v>
      </c>
      <c r="M57" s="19">
        <v>15.67</v>
      </c>
      <c r="N57" s="19">
        <v>1.2</v>
      </c>
      <c r="O57" s="19">
        <v>8.36</v>
      </c>
      <c r="P57" s="19">
        <v>0.43</v>
      </c>
      <c r="Q57" s="19">
        <v>0.56999999999999995</v>
      </c>
      <c r="R57" s="19"/>
      <c r="S57" s="19">
        <f>SUM(G57:Q57)</f>
        <v>100.52680000000001</v>
      </c>
      <c r="U57" s="75"/>
      <c r="V57" s="75"/>
      <c r="W57" s="19"/>
      <c r="X57" s="19"/>
      <c r="Y57" s="19"/>
      <c r="Z57" s="19"/>
      <c r="AA57" s="19"/>
      <c r="AB57" s="22"/>
      <c r="AC57" s="22"/>
      <c r="AF57" s="19">
        <f>(L57/40.31)/((L57/40.31)+(J57-(J57*0.15))*0.8998/71.85)</f>
        <v>0.80733006244276528</v>
      </c>
      <c r="AG57" s="20">
        <f t="shared" si="112"/>
        <v>4556.2</v>
      </c>
      <c r="AH57" s="20">
        <f t="shared" si="113"/>
        <v>69404.72</v>
      </c>
      <c r="AI57" s="20">
        <f>P57*4364</f>
        <v>1876.52</v>
      </c>
      <c r="AJ57" s="19">
        <f t="shared" si="107"/>
        <v>9.5599999999999987</v>
      </c>
      <c r="AK57" s="19">
        <f t="shared" si="108"/>
        <v>6.9666666666666668</v>
      </c>
      <c r="AL57" s="19">
        <f t="shared" si="109"/>
        <v>0.14354066985645933</v>
      </c>
      <c r="AM57" s="19">
        <f t="shared" si="114"/>
        <v>1.3004149377593361</v>
      </c>
      <c r="AN57" s="19">
        <f t="shared" si="110"/>
        <v>0.69377593360995837</v>
      </c>
      <c r="AO57" s="19">
        <f t="shared" si="115"/>
        <v>0.91474983839538671</v>
      </c>
      <c r="AP57" s="19">
        <f>1/AO57</f>
        <v>1.093195055113817</v>
      </c>
      <c r="AQ57" s="19">
        <f t="shared" si="116"/>
        <v>0.30496579039012423</v>
      </c>
      <c r="AR57" s="20">
        <f>1000*(4*(EE57/60.08)-11*(EL57/61.98*2+EM57/94.2*2)-2*(EH57/159.69*2+EF57/79.87))</f>
        <v>189.21517836845908</v>
      </c>
      <c r="AS57" s="20">
        <f>1000*(6*(EK57/56.08)+2*(EJ57/40.3)+EG57/101.96*2)</f>
        <v>2547.2517594699257</v>
      </c>
      <c r="AT57" s="19"/>
      <c r="AU57" s="19">
        <f t="shared" si="117"/>
        <v>0.20134874759152213</v>
      </c>
      <c r="AV57" s="19">
        <f t="shared" si="111"/>
        <v>0.75092775149544966</v>
      </c>
      <c r="AW57" s="19"/>
      <c r="AX57" s="20">
        <v>462</v>
      </c>
      <c r="AY57" s="20">
        <v>1819</v>
      </c>
      <c r="AZ57" s="20">
        <v>720</v>
      </c>
      <c r="BA57" s="22"/>
      <c r="BB57" s="22">
        <v>23</v>
      </c>
      <c r="BC57" s="22">
        <v>147</v>
      </c>
      <c r="BD57" s="22">
        <v>746</v>
      </c>
      <c r="BE57" s="22">
        <v>39</v>
      </c>
      <c r="BF57" s="22">
        <v>136</v>
      </c>
      <c r="BG57" s="22"/>
      <c r="BH57" s="22"/>
      <c r="BI57" s="36">
        <v>41</v>
      </c>
      <c r="BJ57" s="20">
        <v>341</v>
      </c>
      <c r="BK57" s="20">
        <v>16</v>
      </c>
      <c r="BL57" s="22">
        <v>9.1999999999999993</v>
      </c>
      <c r="BM57" s="22">
        <v>0.84</v>
      </c>
      <c r="BN57" s="20">
        <v>95</v>
      </c>
      <c r="BO57" s="20">
        <v>191</v>
      </c>
      <c r="BP57" s="20"/>
      <c r="BQ57" s="22">
        <v>88</v>
      </c>
      <c r="BR57" s="22">
        <v>20</v>
      </c>
      <c r="BS57" s="22">
        <v>3.3</v>
      </c>
      <c r="BT57" s="22"/>
      <c r="BU57" s="22">
        <v>1.4</v>
      </c>
      <c r="BV57" s="22"/>
      <c r="BW57" s="19"/>
      <c r="BX57" s="19"/>
      <c r="BY57" s="19"/>
      <c r="BZ57" s="22">
        <v>3.1</v>
      </c>
      <c r="CA57" s="19">
        <v>0.43</v>
      </c>
      <c r="CB57" s="20"/>
      <c r="CC57" s="20">
        <v>38</v>
      </c>
      <c r="CD57" s="22"/>
      <c r="CE57" s="22"/>
      <c r="CG57" s="22">
        <f>BN57/0.242</f>
        <v>392.56198347107437</v>
      </c>
      <c r="CH57" s="22">
        <f>BO57/0.635</f>
        <v>300.78740157480314</v>
      </c>
      <c r="CI57" s="22"/>
      <c r="CJ57" s="22">
        <f>BQ57/0.48</f>
        <v>183.33333333333334</v>
      </c>
      <c r="CK57" s="22">
        <f>BR57/0.156</f>
        <v>128.2051282051282</v>
      </c>
      <c r="CL57" s="22">
        <f>BS57/0.0591</f>
        <v>55.837563451776646</v>
      </c>
      <c r="CM57" s="22"/>
      <c r="CN57" s="22">
        <f>BU57/0.0376</f>
        <v>37.234042553191486</v>
      </c>
      <c r="CO57" s="22"/>
      <c r="CP57" s="22"/>
      <c r="CQ57" s="22"/>
      <c r="CR57" s="22"/>
      <c r="CS57" s="22">
        <f>BZ57/0.166</f>
        <v>18.674698795180724</v>
      </c>
      <c r="CT57" s="22">
        <f>CA57/0.024</f>
        <v>17.916666666666664</v>
      </c>
      <c r="CU57" s="22">
        <f>AZ57/BK57</f>
        <v>45</v>
      </c>
      <c r="CV57" s="22">
        <f>AZ57/BN57</f>
        <v>7.5789473684210522</v>
      </c>
      <c r="CW57" s="22">
        <f>BN57/BK57</f>
        <v>5.9375</v>
      </c>
      <c r="CX57" s="20">
        <f>AG57/BK57</f>
        <v>284.76249999999999</v>
      </c>
      <c r="CY57" s="22"/>
      <c r="CZ57" s="22"/>
      <c r="DA57" s="22">
        <f>AX57/BR57</f>
        <v>23.1</v>
      </c>
      <c r="DB57" s="22">
        <f>BJ57/BK57</f>
        <v>21.3125</v>
      </c>
      <c r="DC57" s="22">
        <f>AZ57/CC57</f>
        <v>18.94736842105263</v>
      </c>
      <c r="DD57" s="22">
        <f>CC57/BM57</f>
        <v>45.238095238095241</v>
      </c>
      <c r="DE57" s="22">
        <f>BM57/BZ57</f>
        <v>0.27096774193548384</v>
      </c>
      <c r="DF57" s="22">
        <f>CC57/BZ57</f>
        <v>12.258064516129032</v>
      </c>
      <c r="DG57" s="19">
        <f>BK57/BI57</f>
        <v>0.3902439024390244</v>
      </c>
      <c r="DH57" s="20">
        <f>AH57/BN57</f>
        <v>730.57600000000002</v>
      </c>
      <c r="DI57" s="19"/>
      <c r="DJ57" s="22">
        <f>BN57/CA57</f>
        <v>220.93023255813955</v>
      </c>
      <c r="DK57" s="22">
        <f>CG57/CT57</f>
        <v>21.910436286757641</v>
      </c>
      <c r="DL57" s="22">
        <f>CG57/CK57</f>
        <v>3.0619834710743801</v>
      </c>
      <c r="DM57" s="22">
        <f>BN57/BZ57</f>
        <v>30.64516129032258</v>
      </c>
      <c r="DN57" s="76">
        <f>BL57/BQ57</f>
        <v>0.10454545454545454</v>
      </c>
      <c r="DO57" s="22">
        <f>BR57/BZ57</f>
        <v>6.4516129032258061</v>
      </c>
      <c r="DP57" s="20">
        <f>AY57/BZ57</f>
        <v>586.77419354838707</v>
      </c>
      <c r="DQ57" s="22">
        <f>AY57/BQ57</f>
        <v>20.670454545454547</v>
      </c>
      <c r="DR57" s="22"/>
      <c r="DS57" s="19"/>
      <c r="DT57" s="23">
        <f>1/AY57</f>
        <v>5.4975261132490382E-4</v>
      </c>
      <c r="DU57" s="22">
        <f>BJ57/BI57</f>
        <v>8.3170731707317067</v>
      </c>
      <c r="DV57" s="22">
        <f>BK57/BM57</f>
        <v>19.047619047619047</v>
      </c>
      <c r="DW57" s="22">
        <f>1.74+LOG(BK57/BI57)-1.92*LOG(BJ57/BI57)</f>
        <v>-0.43500727682751417</v>
      </c>
      <c r="DX57" s="22">
        <f>BK57*100/BJ57</f>
        <v>4.6920821114369504</v>
      </c>
      <c r="DY57" s="22">
        <f>CC57*100/BJ57</f>
        <v>11.143695014662757</v>
      </c>
      <c r="DZ57" s="19">
        <f>EK57*100/AY57</f>
        <v>0.86183465451687546</v>
      </c>
      <c r="EA57" s="23"/>
      <c r="EB57" s="19">
        <f>CC57/BK57</f>
        <v>2.375</v>
      </c>
      <c r="EC57" s="19"/>
      <c r="ED57" s="19"/>
      <c r="EE57" s="19">
        <f t="shared" si="118"/>
        <v>41.537944391977327</v>
      </c>
      <c r="EF57" s="19">
        <f t="shared" si="118"/>
        <v>0.76032846189553871</v>
      </c>
      <c r="EG57" s="19">
        <f t="shared" si="118"/>
        <v>12.055207849791108</v>
      </c>
      <c r="EH57" s="19">
        <f t="shared" si="118"/>
        <v>7.0998671426056044</v>
      </c>
      <c r="EI57" s="19">
        <f>100*K57/($G57+$H57+$I57+$J57+$K57+$L57+$M57+$N57+$O57+$P57)</f>
        <v>0.11004754053751219</v>
      </c>
      <c r="EJ57" s="19">
        <f t="shared" si="119"/>
        <v>12.765514702351414</v>
      </c>
      <c r="EK57" s="19">
        <f t="shared" si="119"/>
        <v>15.676772365661964</v>
      </c>
      <c r="EL57" s="19">
        <f t="shared" si="119"/>
        <v>1.2005186240455874</v>
      </c>
      <c r="EM57" s="19">
        <f t="shared" si="119"/>
        <v>8.3636130808509268</v>
      </c>
      <c r="EN57" s="19">
        <f t="shared" si="119"/>
        <v>0.43018584028300216</v>
      </c>
      <c r="EO57" s="19">
        <f t="shared" si="120"/>
        <v>99.999999999999986</v>
      </c>
    </row>
    <row r="58" spans="1:145" s="36" customFormat="1">
      <c r="A58" s="36" t="s">
        <v>170</v>
      </c>
      <c r="B58" s="36">
        <v>5</v>
      </c>
      <c r="C58" s="36" t="s">
        <v>216</v>
      </c>
      <c r="D58" s="36" t="s">
        <v>267</v>
      </c>
      <c r="E58" s="36" t="s">
        <v>63</v>
      </c>
      <c r="F58" s="36">
        <v>0.46500000000000002</v>
      </c>
      <c r="G58" s="19">
        <v>41.88</v>
      </c>
      <c r="H58" s="19">
        <v>0.69</v>
      </c>
      <c r="I58" s="19">
        <v>12.28</v>
      </c>
      <c r="J58" s="19">
        <v>6.8895000000000008</v>
      </c>
      <c r="K58" s="19">
        <v>0.11</v>
      </c>
      <c r="L58" s="19">
        <v>12.78</v>
      </c>
      <c r="M58" s="19">
        <v>15.21</v>
      </c>
      <c r="N58" s="19">
        <v>1.06</v>
      </c>
      <c r="O58" s="19">
        <v>8.36</v>
      </c>
      <c r="P58" s="19">
        <v>0.39</v>
      </c>
      <c r="Q58" s="19">
        <v>0.83</v>
      </c>
      <c r="R58" s="19"/>
      <c r="S58" s="19">
        <f>SUM(G58:Q58)</f>
        <v>100.47949999999999</v>
      </c>
      <c r="U58" s="75">
        <v>0.71041416174283345</v>
      </c>
      <c r="V58" s="75">
        <v>0.51207967674656041</v>
      </c>
      <c r="W58" s="19">
        <v>18.728000000000002</v>
      </c>
      <c r="X58" s="19">
        <v>15.648</v>
      </c>
      <c r="Y58" s="19">
        <v>38.877000000000002</v>
      </c>
      <c r="Z58" s="19">
        <f>Y58/W58</f>
        <v>2.0758756941478</v>
      </c>
      <c r="AA58" s="19">
        <f>X58/W58</f>
        <v>0.83554036736437409</v>
      </c>
      <c r="AB58" s="22">
        <f>(X58-((0.1084*W58)+13.491))*100</f>
        <v>12.688479999999913</v>
      </c>
      <c r="AC58" s="22">
        <f>(Y58-(1.209*W58+15.627))*100</f>
        <v>60.784799999999706</v>
      </c>
      <c r="AF58" s="19">
        <f>(L58/40.31)/((L58/40.31)+(J58-(J58*0.15))*0.8998/71.85)</f>
        <v>0.81213846339107931</v>
      </c>
      <c r="AG58" s="20">
        <f t="shared" si="112"/>
        <v>4136.5499999999993</v>
      </c>
      <c r="AH58" s="20">
        <f t="shared" si="113"/>
        <v>69404.72</v>
      </c>
      <c r="AI58" s="20">
        <f>P58*4364</f>
        <v>1701.96</v>
      </c>
      <c r="AJ58" s="19">
        <f t="shared" si="107"/>
        <v>9.42</v>
      </c>
      <c r="AK58" s="19">
        <f t="shared" si="108"/>
        <v>7.8867924528301874</v>
      </c>
      <c r="AL58" s="19">
        <f t="shared" si="109"/>
        <v>0.12679425837320576</v>
      </c>
      <c r="AM58" s="19">
        <f t="shared" si="114"/>
        <v>1.2385993485342019</v>
      </c>
      <c r="AN58" s="19">
        <f t="shared" si="110"/>
        <v>0.68078175895765469</v>
      </c>
      <c r="AO58" s="19">
        <f t="shared" si="115"/>
        <v>0.87886229659317983</v>
      </c>
      <c r="AP58" s="19">
        <f>1/AO58</f>
        <v>1.1378346799907086</v>
      </c>
      <c r="AQ58" s="19">
        <f t="shared" si="116"/>
        <v>0.31940913925953401</v>
      </c>
      <c r="AR58" s="20">
        <f>1000*(4*(EE58/60.08)-11*(EL58/61.98*2+EM58/94.2*2)-2*(EH58/159.69*2+EF58/79.87))</f>
        <v>270.68910379464808</v>
      </c>
      <c r="AS58" s="20">
        <f>1000*(6*(EK58/56.08)+2*(EJ58/40.3)+EG58/101.96*2)</f>
        <v>2511.2419722577574</v>
      </c>
      <c r="AT58" s="19"/>
      <c r="AU58" s="19">
        <f t="shared" si="117"/>
        <v>0.19961795606494745</v>
      </c>
      <c r="AV58" s="19">
        <f t="shared" si="111"/>
        <v>0.73686314377200068</v>
      </c>
      <c r="AW58" s="19"/>
      <c r="AX58" s="20">
        <v>432</v>
      </c>
      <c r="AY58" s="20">
        <v>1706</v>
      </c>
      <c r="AZ58" s="20">
        <v>501</v>
      </c>
      <c r="BA58" s="22">
        <v>33</v>
      </c>
      <c r="BB58" s="22">
        <v>21.4</v>
      </c>
      <c r="BC58" s="22">
        <v>110</v>
      </c>
      <c r="BD58" s="22">
        <v>880</v>
      </c>
      <c r="BE58" s="22">
        <v>41.8</v>
      </c>
      <c r="BF58" s="22">
        <v>141</v>
      </c>
      <c r="BG58" s="22"/>
      <c r="BH58" s="22"/>
      <c r="BI58" s="36">
        <v>27</v>
      </c>
      <c r="BJ58" s="20">
        <v>319</v>
      </c>
      <c r="BK58" s="20">
        <v>18</v>
      </c>
      <c r="BL58" s="22">
        <v>8.3000000000000007</v>
      </c>
      <c r="BM58" s="22">
        <v>0.92</v>
      </c>
      <c r="BN58" s="20">
        <v>77</v>
      </c>
      <c r="BO58" s="20">
        <v>176</v>
      </c>
      <c r="BP58" s="20"/>
      <c r="BQ58" s="22">
        <v>94</v>
      </c>
      <c r="BR58" s="22">
        <v>16.600000000000001</v>
      </c>
      <c r="BS58" s="22">
        <v>3.01</v>
      </c>
      <c r="BT58" s="22"/>
      <c r="BU58" s="22">
        <v>1.4</v>
      </c>
      <c r="BV58" s="22"/>
      <c r="BW58" s="19"/>
      <c r="BX58" s="19"/>
      <c r="BY58" s="19"/>
      <c r="BZ58" s="22">
        <v>2.37</v>
      </c>
      <c r="CA58" s="19">
        <v>0.45</v>
      </c>
      <c r="CB58" s="20">
        <v>16.52</v>
      </c>
      <c r="CC58" s="20">
        <v>36.85</v>
      </c>
      <c r="CD58" s="22">
        <v>9.125</v>
      </c>
      <c r="CE58" s="22"/>
      <c r="CG58" s="22">
        <f>BN58/0.242</f>
        <v>318.18181818181819</v>
      </c>
      <c r="CH58" s="22">
        <f>BO58/0.635</f>
        <v>277.16535433070868</v>
      </c>
      <c r="CI58" s="22"/>
      <c r="CJ58" s="22">
        <f>BQ58/0.48</f>
        <v>195.83333333333334</v>
      </c>
      <c r="CK58" s="22">
        <f>BR58/0.156</f>
        <v>106.41025641025642</v>
      </c>
      <c r="CL58" s="22">
        <f>BS58/0.0591</f>
        <v>50.930626057529608</v>
      </c>
      <c r="CM58" s="22"/>
      <c r="CN58" s="22">
        <f>BU58/0.0376</f>
        <v>37.234042553191486</v>
      </c>
      <c r="CO58" s="22"/>
      <c r="CP58" s="22"/>
      <c r="CQ58" s="22"/>
      <c r="CR58" s="22"/>
      <c r="CS58" s="22">
        <f>BZ58/0.166</f>
        <v>14.27710843373494</v>
      </c>
      <c r="CT58" s="22">
        <f>CA58/0.024</f>
        <v>18.75</v>
      </c>
      <c r="CU58" s="22">
        <f>AZ58/BK58</f>
        <v>27.833333333333332</v>
      </c>
      <c r="CV58" s="22">
        <f>AZ58/BN58</f>
        <v>6.5064935064935066</v>
      </c>
      <c r="CW58" s="22">
        <f>BN58/BK58</f>
        <v>4.2777777777777777</v>
      </c>
      <c r="CX58" s="20">
        <f>AG58/BK58</f>
        <v>229.80833333333328</v>
      </c>
      <c r="CY58" s="22">
        <f>BO58/CB58</f>
        <v>10.653753026634384</v>
      </c>
      <c r="CZ58" s="22">
        <f>BK58/CD58</f>
        <v>1.9726027397260273</v>
      </c>
      <c r="DA58" s="22">
        <f>AX58/BR58</f>
        <v>26.024096385542165</v>
      </c>
      <c r="DB58" s="22">
        <f>BJ58/BK58</f>
        <v>17.722222222222221</v>
      </c>
      <c r="DC58" s="22">
        <f>AZ58/CC58</f>
        <v>13.595658073270013</v>
      </c>
      <c r="DD58" s="22">
        <f>CC58/BM58</f>
        <v>40.054347826086953</v>
      </c>
      <c r="DE58" s="22">
        <f>BM58/BZ58</f>
        <v>0.3881856540084388</v>
      </c>
      <c r="DF58" s="22">
        <f>CC58/BZ58</f>
        <v>15.548523206751055</v>
      </c>
      <c r="DG58" s="19">
        <f>BK58/BI58</f>
        <v>0.66666666666666663</v>
      </c>
      <c r="DH58" s="20">
        <f>AH58/BN58</f>
        <v>901.36</v>
      </c>
      <c r="DI58" s="19">
        <f>(BK58/0.46)/((O58/0.023)*(CD58/0.017))^0.5</f>
        <v>8.858975014832049E-2</v>
      </c>
      <c r="DJ58" s="22">
        <f>BN58/CA58</f>
        <v>171.11111111111111</v>
      </c>
      <c r="DK58" s="22">
        <f>CG58/CT58</f>
        <v>16.969696969696969</v>
      </c>
      <c r="DL58" s="22">
        <f>CG58/CK58</f>
        <v>2.9901423877327487</v>
      </c>
      <c r="DM58" s="22">
        <f>BN58/BZ58</f>
        <v>32.489451476793249</v>
      </c>
      <c r="DN58" s="76">
        <f>BL58/BQ58</f>
        <v>8.8297872340425534E-2</v>
      </c>
      <c r="DO58" s="22">
        <f>BR58/BZ58</f>
        <v>7.004219409282701</v>
      </c>
      <c r="DP58" s="20">
        <f>AY58/BZ58</f>
        <v>719.83122362869199</v>
      </c>
      <c r="DQ58" s="22">
        <f>AY58/BQ58</f>
        <v>18.148936170212767</v>
      </c>
      <c r="DR58" s="22"/>
      <c r="DS58" s="19"/>
      <c r="DT58" s="23">
        <f>1/AY58</f>
        <v>5.8616647127784287E-4</v>
      </c>
      <c r="DU58" s="22">
        <f>BJ58/BI58</f>
        <v>11.814814814814815</v>
      </c>
      <c r="DV58" s="22">
        <f>BK58/BM58</f>
        <v>19.565217391304348</v>
      </c>
      <c r="DW58" s="22">
        <f>1.74+LOG(BK58/BI58)-1.92*LOG(BJ58/BI58)</f>
        <v>-0.49515094334021348</v>
      </c>
      <c r="DX58" s="22">
        <f>BK58*100/BJ58</f>
        <v>5.6426332288401255</v>
      </c>
      <c r="DY58" s="22">
        <f>CC58*100/BJ58</f>
        <v>11.551724137931034</v>
      </c>
      <c r="DZ58" s="19">
        <f>EK58*100/AY58</f>
        <v>0.8946951091712444</v>
      </c>
      <c r="EA58" s="23"/>
      <c r="EB58" s="19">
        <f>CC58/BK58</f>
        <v>2.0472222222222225</v>
      </c>
      <c r="EC58" s="19"/>
      <c r="ED58" s="19"/>
      <c r="EE58" s="19">
        <f t="shared" si="118"/>
        <v>42.027305706501295</v>
      </c>
      <c r="EF58" s="19">
        <f t="shared" si="118"/>
        <v>0.6924269564824711</v>
      </c>
      <c r="EG58" s="19">
        <f t="shared" si="118"/>
        <v>12.323192790731515</v>
      </c>
      <c r="EH58" s="19">
        <f t="shared" si="118"/>
        <v>6.9137326328782391</v>
      </c>
      <c r="EI58" s="19">
        <f>100*K58/($G58+$H58+$I58+$J58+$K58+$L58+$M58+$N58+$O58+$P58)</f>
        <v>0.1103869061059012</v>
      </c>
      <c r="EJ58" s="19">
        <f t="shared" si="119"/>
        <v>12.824951454849248</v>
      </c>
      <c r="EK58" s="19">
        <f t="shared" si="119"/>
        <v>15.263498562461429</v>
      </c>
      <c r="EL58" s="19">
        <f t="shared" si="119"/>
        <v>1.0637283679295932</v>
      </c>
      <c r="EM58" s="19">
        <f t="shared" si="119"/>
        <v>8.3894048640484904</v>
      </c>
      <c r="EN58" s="19">
        <f t="shared" si="119"/>
        <v>0.39137175801183149</v>
      </c>
      <c r="EO58" s="19">
        <f t="shared" si="120"/>
        <v>100.00000000000001</v>
      </c>
    </row>
    <row r="59" spans="1:145" s="36" customFormat="1">
      <c r="A59" s="36" t="s">
        <v>170</v>
      </c>
      <c r="B59" s="36">
        <v>5</v>
      </c>
      <c r="C59" s="36" t="s">
        <v>215</v>
      </c>
      <c r="D59" s="36" t="s">
        <v>214</v>
      </c>
      <c r="E59" s="36" t="s">
        <v>63</v>
      </c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U59" s="75"/>
      <c r="V59" s="75"/>
      <c r="W59" s="19">
        <v>18.734999999999999</v>
      </c>
      <c r="X59" s="19">
        <v>15.657999999999999</v>
      </c>
      <c r="Y59" s="19">
        <v>38.930999999999997</v>
      </c>
      <c r="Z59" s="19">
        <f>Y59/W59</f>
        <v>2.0779823859087267</v>
      </c>
      <c r="AA59" s="19">
        <f>X59/W59</f>
        <v>0.83576194288764349</v>
      </c>
      <c r="AB59" s="22">
        <f>(X59-((0.1084*W59)+13.491))*100</f>
        <v>13.612599999999908</v>
      </c>
      <c r="AC59" s="22">
        <f>(Y59-(1.209*W59+15.627))*100</f>
        <v>65.3384999999993</v>
      </c>
      <c r="AF59" s="19"/>
      <c r="AG59" s="20"/>
      <c r="AH59" s="20"/>
      <c r="AI59" s="20"/>
      <c r="AJ59" s="19"/>
      <c r="AK59" s="19"/>
      <c r="AL59" s="19"/>
      <c r="AM59" s="19"/>
      <c r="AN59" s="19"/>
      <c r="AO59" s="19"/>
      <c r="AP59" s="19"/>
      <c r="AQ59" s="19"/>
      <c r="AR59" s="20"/>
      <c r="AS59" s="20"/>
      <c r="AT59" s="19"/>
      <c r="AU59" s="19"/>
      <c r="AV59" s="19"/>
      <c r="AW59" s="19"/>
      <c r="AX59" s="20"/>
      <c r="AY59" s="20"/>
      <c r="AZ59" s="20"/>
      <c r="BA59" s="22"/>
      <c r="BB59" s="22"/>
      <c r="BC59" s="22"/>
      <c r="BD59" s="22"/>
      <c r="BE59" s="22"/>
      <c r="BF59" s="22"/>
      <c r="BG59" s="22"/>
      <c r="BH59" s="22"/>
      <c r="BJ59" s="20"/>
      <c r="BK59" s="20"/>
      <c r="BL59" s="22"/>
      <c r="BM59" s="22"/>
      <c r="BN59" s="20"/>
      <c r="BO59" s="20"/>
      <c r="BP59" s="20"/>
      <c r="BQ59" s="22"/>
      <c r="BR59" s="22"/>
      <c r="BS59" s="22"/>
      <c r="BT59" s="22"/>
      <c r="BU59" s="22"/>
      <c r="BV59" s="22"/>
      <c r="BW59" s="19"/>
      <c r="BX59" s="19"/>
      <c r="BY59" s="19"/>
      <c r="BZ59" s="22"/>
      <c r="CA59" s="19"/>
      <c r="CB59" s="20"/>
      <c r="CC59" s="20"/>
      <c r="CD59" s="22"/>
      <c r="CE59" s="22"/>
      <c r="CG59" s="22"/>
      <c r="CH59" s="22"/>
      <c r="CI59" s="22"/>
      <c r="CJ59" s="22"/>
      <c r="CK59" s="22"/>
      <c r="CL59" s="22"/>
      <c r="CM59" s="22"/>
      <c r="CN59" s="22"/>
      <c r="CO59" s="22"/>
      <c r="CP59" s="22"/>
      <c r="CQ59" s="22"/>
      <c r="CR59" s="22"/>
      <c r="CS59" s="22"/>
      <c r="CT59" s="22"/>
      <c r="CU59" s="22"/>
      <c r="CV59" s="22"/>
      <c r="CW59" s="22"/>
      <c r="CX59" s="20"/>
      <c r="CY59" s="22"/>
      <c r="CZ59" s="22"/>
      <c r="DA59" s="22"/>
      <c r="DB59" s="22"/>
      <c r="DC59" s="22"/>
      <c r="DD59" s="22"/>
      <c r="DE59" s="22"/>
      <c r="DF59" s="22"/>
      <c r="DG59" s="19"/>
      <c r="DH59" s="20"/>
      <c r="DI59" s="19"/>
      <c r="DJ59" s="22"/>
      <c r="DK59" s="22"/>
      <c r="DL59" s="22"/>
      <c r="DM59" s="22"/>
      <c r="DN59" s="76"/>
      <c r="DO59" s="22"/>
      <c r="DP59" s="20"/>
      <c r="DQ59" s="22"/>
      <c r="DR59" s="22"/>
      <c r="DS59" s="19"/>
      <c r="DT59" s="23"/>
      <c r="DU59" s="22"/>
      <c r="DV59" s="22"/>
      <c r="DW59" s="22"/>
      <c r="DX59" s="22"/>
      <c r="DY59" s="22"/>
      <c r="DZ59" s="19"/>
      <c r="EA59" s="23"/>
      <c r="EB59" s="19"/>
      <c r="EC59" s="19"/>
      <c r="ED59" s="19"/>
      <c r="EE59" s="19"/>
      <c r="EF59" s="19"/>
      <c r="EG59" s="19"/>
      <c r="EH59" s="19"/>
      <c r="EI59" s="19"/>
      <c r="EJ59" s="19"/>
      <c r="EK59" s="19"/>
      <c r="EL59" s="19"/>
      <c r="EM59" s="19"/>
      <c r="EN59" s="19"/>
      <c r="EO59" s="19"/>
    </row>
    <row r="60" spans="1:145" s="36" customFormat="1">
      <c r="A60" s="36" t="s">
        <v>170</v>
      </c>
      <c r="B60" s="36">
        <v>5</v>
      </c>
      <c r="C60" s="36" t="s">
        <v>213</v>
      </c>
      <c r="D60" s="36" t="s">
        <v>267</v>
      </c>
      <c r="E60" s="36" t="s">
        <v>63</v>
      </c>
      <c r="F60" s="36">
        <v>0.46500000000000002</v>
      </c>
      <c r="G60" s="19">
        <v>42.22</v>
      </c>
      <c r="H60" s="19">
        <v>0.74</v>
      </c>
      <c r="I60" s="19">
        <v>11.87</v>
      </c>
      <c r="J60" s="19">
        <v>7.2064000000000004</v>
      </c>
      <c r="K60" s="19">
        <v>0.12</v>
      </c>
      <c r="L60" s="19">
        <v>12.7</v>
      </c>
      <c r="M60" s="19">
        <v>15.11</v>
      </c>
      <c r="N60" s="19">
        <v>1.06</v>
      </c>
      <c r="O60" s="19">
        <v>8.2100000000000009</v>
      </c>
      <c r="P60" s="19">
        <v>0.34</v>
      </c>
      <c r="Q60" s="19">
        <v>0.77</v>
      </c>
      <c r="R60" s="19"/>
      <c r="S60" s="19">
        <f t="shared" ref="S60:S65" si="121">SUM(G60:Q60)</f>
        <v>100.3464</v>
      </c>
      <c r="U60" s="75">
        <v>0.71026932504395202</v>
      </c>
      <c r="V60" s="75">
        <v>0.51206265524756089</v>
      </c>
      <c r="W60" s="19"/>
      <c r="X60" s="19"/>
      <c r="Y60" s="19"/>
      <c r="Z60" s="19"/>
      <c r="AA60" s="19"/>
      <c r="AB60" s="22"/>
      <c r="AC60" s="22"/>
      <c r="AF60" s="19">
        <f t="shared" ref="AF60:AF76" si="122">(L60/40.31)/((L60/40.31)+(J60-(J60*0.15))*0.8998/71.85)</f>
        <v>0.80419384889340162</v>
      </c>
      <c r="AG60" s="20">
        <f t="shared" ref="AG60:AG76" si="123">H60*5995</f>
        <v>4436.3</v>
      </c>
      <c r="AH60" s="20">
        <f t="shared" ref="AH60:AH70" si="124">O60*8302</f>
        <v>68159.420000000013</v>
      </c>
      <c r="AI60" s="20">
        <f t="shared" ref="AI60:AI70" si="125">P60*4364</f>
        <v>1483.7600000000002</v>
      </c>
      <c r="AJ60" s="19">
        <f t="shared" ref="AJ60:AJ76" si="126">N60+O60</f>
        <v>9.2700000000000014</v>
      </c>
      <c r="AK60" s="19">
        <f t="shared" ref="AK60:AK76" si="127">O60/N60</f>
        <v>7.7452830188679247</v>
      </c>
      <c r="AL60" s="19">
        <f t="shared" ref="AL60:AL76" si="128">N60/O60</f>
        <v>0.12911084043848964</v>
      </c>
      <c r="AM60" s="19">
        <f t="shared" ref="AM60:AM76" si="129">EK60/EG60</f>
        <v>1.2729570345408592</v>
      </c>
      <c r="AN60" s="19">
        <f t="shared" ref="AN60:AN76" si="130">O60/I60</f>
        <v>0.6916596461668072</v>
      </c>
      <c r="AO60" s="19">
        <f t="shared" ref="AO60:AO76" si="131">(EL60/61.98+EM60/94.2)/(EG60/101.96)</f>
        <v>0.89554105427684583</v>
      </c>
      <c r="AP60" s="19">
        <f t="shared" ref="AP60:AP76" si="132">1/AO60</f>
        <v>1.1166433914160476</v>
      </c>
      <c r="AQ60" s="19">
        <f t="shared" ref="AQ60:AQ76" si="133">(EG60/101.96)/((EK60/56.08)+(EL60/61.98)+(EM60/94.2))</f>
        <v>0.31153367625880635</v>
      </c>
      <c r="AR60" s="20">
        <f t="shared" ref="AR60:AR76" si="134">1000*(4*(EE60/60.08)-11*(EL60/61.98*2+EM60/94.2*2)-2*(EH60/159.69*2+EF60/79.87))</f>
        <v>319.57246507076911</v>
      </c>
      <c r="AS60" s="20">
        <f t="shared" ref="AS60:AS76" si="135">1000*(6*(EK60/56.08)+2*(EJ60/40.3)+EG60/101.96*2)</f>
        <v>2490.2772894347545</v>
      </c>
      <c r="AT60" s="19"/>
      <c r="AU60" s="19">
        <f t="shared" ref="AU60:AU76" si="136">O60/G60</f>
        <v>0.19445760303173854</v>
      </c>
      <c r="AV60" s="19">
        <f t="shared" ref="AV60:AV76" si="137">(O60/94.2)/(I60/101.96)</f>
        <v>0.74863712869604737</v>
      </c>
      <c r="AW60" s="19"/>
      <c r="AX60" s="20">
        <v>398</v>
      </c>
      <c r="AY60" s="20">
        <v>1340</v>
      </c>
      <c r="AZ60" s="20">
        <v>669</v>
      </c>
      <c r="BA60" s="22">
        <v>38.200000000000003</v>
      </c>
      <c r="BB60" s="22"/>
      <c r="BC60" s="22">
        <v>131</v>
      </c>
      <c r="BD60" s="22">
        <v>690</v>
      </c>
      <c r="BE60" s="22">
        <v>31</v>
      </c>
      <c r="BF60" s="22">
        <v>120</v>
      </c>
      <c r="BG60" s="22">
        <v>30</v>
      </c>
      <c r="BH60" s="22">
        <v>80</v>
      </c>
      <c r="BI60" s="36">
        <v>29.3</v>
      </c>
      <c r="BJ60" s="20">
        <v>290</v>
      </c>
      <c r="BK60" s="20">
        <v>11.8</v>
      </c>
      <c r="BL60" s="22">
        <v>9</v>
      </c>
      <c r="BM60" s="22">
        <v>0.81</v>
      </c>
      <c r="BN60" s="20">
        <v>86.9</v>
      </c>
      <c r="BO60" s="20">
        <v>196</v>
      </c>
      <c r="BP60" s="20">
        <v>23.2</v>
      </c>
      <c r="BQ60" s="22">
        <v>89.2</v>
      </c>
      <c r="BR60" s="22">
        <v>16.8</v>
      </c>
      <c r="BS60" s="22">
        <v>3.58</v>
      </c>
      <c r="BT60" s="22">
        <v>12</v>
      </c>
      <c r="BU60" s="22">
        <v>1.57</v>
      </c>
      <c r="BV60" s="22">
        <v>7.58</v>
      </c>
      <c r="BW60" s="19">
        <v>1.19</v>
      </c>
      <c r="BX60" s="19">
        <v>3.05</v>
      </c>
      <c r="BY60" s="19">
        <v>0.39800000000000002</v>
      </c>
      <c r="BZ60" s="22">
        <v>2.34</v>
      </c>
      <c r="CA60" s="19">
        <v>0.31900000000000001</v>
      </c>
      <c r="CB60" s="20">
        <v>29</v>
      </c>
      <c r="CC60" s="20">
        <v>30.7</v>
      </c>
      <c r="CD60" s="22">
        <v>7.98</v>
      </c>
      <c r="CE60" s="22">
        <v>13</v>
      </c>
      <c r="CG60" s="22">
        <f t="shared" ref="CG60:CG78" si="138">BN60/0.242</f>
        <v>359.09090909090912</v>
      </c>
      <c r="CH60" s="22">
        <f t="shared" ref="CH60:CH78" si="139">BO60/0.635</f>
        <v>308.66141732283467</v>
      </c>
      <c r="CI60" s="22">
        <f>BP60/0.0963</f>
        <v>240.91381100726895</v>
      </c>
      <c r="CJ60" s="22">
        <f>BQ60/0.48</f>
        <v>185.83333333333334</v>
      </c>
      <c r="CK60" s="22">
        <f>BR60/0.156</f>
        <v>107.69230769230769</v>
      </c>
      <c r="CL60" s="22">
        <f>BS60/0.0591</f>
        <v>60.575296108291035</v>
      </c>
      <c r="CM60" s="22">
        <f>BT60/0.212</f>
        <v>56.60377358490566</v>
      </c>
      <c r="CN60" s="22">
        <f>BU60/0.0376</f>
        <v>41.755319148936174</v>
      </c>
      <c r="CO60" s="22">
        <f>BV60/0.259</f>
        <v>29.266409266409266</v>
      </c>
      <c r="CP60" s="22">
        <f>BW60/0.0585</f>
        <v>20.341880341880341</v>
      </c>
      <c r="CQ60" s="22">
        <f>BX60/0.163</f>
        <v>18.711656441717789</v>
      </c>
      <c r="CR60" s="22">
        <f>BY60/0.0256</f>
        <v>15.546875</v>
      </c>
      <c r="CS60" s="22">
        <f>BZ60/0.166</f>
        <v>14.096385542168672</v>
      </c>
      <c r="CT60" s="22">
        <f>CA60/0.024</f>
        <v>13.291666666666666</v>
      </c>
      <c r="CU60" s="22">
        <f t="shared" ref="CU60:CU75" si="140">AZ60/BK60</f>
        <v>56.694915254237287</v>
      </c>
      <c r="CV60" s="22">
        <f t="shared" ref="CV60:CV74" si="141">AZ60/BN60</f>
        <v>7.6985040276179513</v>
      </c>
      <c r="CW60" s="22">
        <f t="shared" ref="CW60:CW74" si="142">BN60/BK60</f>
        <v>7.3644067796610173</v>
      </c>
      <c r="CX60" s="20">
        <f t="shared" ref="CX60:CX75" si="143">AG60/BK60</f>
        <v>375.95762711864404</v>
      </c>
      <c r="CY60" s="22">
        <f>BO60/CB60</f>
        <v>6.7586206896551726</v>
      </c>
      <c r="CZ60" s="22">
        <f>BK60/CD60</f>
        <v>1.4786967418546366</v>
      </c>
      <c r="DA60" s="22">
        <f>AX60/BR60</f>
        <v>23.69047619047619</v>
      </c>
      <c r="DB60" s="22">
        <f t="shared" ref="DB60:DB75" si="144">BJ60/BK60</f>
        <v>24.576271186440678</v>
      </c>
      <c r="DC60" s="22">
        <f t="shared" ref="DC60:DC74" si="145">AZ60/CC60</f>
        <v>21.791530944625407</v>
      </c>
      <c r="DD60" s="22">
        <f>CC60/BM60</f>
        <v>37.901234567901234</v>
      </c>
      <c r="DE60" s="22">
        <f>BM60/BZ60</f>
        <v>0.3461538461538462</v>
      </c>
      <c r="DF60" s="22">
        <f>CC60/BZ60</f>
        <v>13.119658119658121</v>
      </c>
      <c r="DG60" s="19">
        <f t="shared" ref="DG60:DG75" si="146">BK60/BI60</f>
        <v>0.40273037542662116</v>
      </c>
      <c r="DH60" s="20">
        <f t="shared" ref="DH60:DH74" si="147">AH60/BN60</f>
        <v>784.34315304948223</v>
      </c>
      <c r="DI60" s="19">
        <f>(BK60/0.46)/((O60/0.023)*(CD60/0.017))^0.5</f>
        <v>6.2667090253306634E-2</v>
      </c>
      <c r="DJ60" s="22">
        <f>BN60/CA60</f>
        <v>272.41379310344831</v>
      </c>
      <c r="DK60" s="22">
        <f>CG60/CT60</f>
        <v>27.016243944143636</v>
      </c>
      <c r="DL60" s="22">
        <f>CG60/CK60</f>
        <v>3.3344155844155847</v>
      </c>
      <c r="DM60" s="22">
        <f>BN60/BZ60</f>
        <v>37.136752136752143</v>
      </c>
      <c r="DN60" s="76">
        <f>BL60/BQ60</f>
        <v>0.10089686098654709</v>
      </c>
      <c r="DO60" s="22">
        <f>BR60/BZ60</f>
        <v>7.1794871794871806</v>
      </c>
      <c r="DP60" s="20">
        <f>AY60/BZ60</f>
        <v>572.64957264957263</v>
      </c>
      <c r="DQ60" s="22">
        <f>AY60/BQ60</f>
        <v>15.022421524663677</v>
      </c>
      <c r="DR60" s="22">
        <f>AY60/(((BR60/0.195)*(BT60/0.259))^0.5)</f>
        <v>21.209318903098545</v>
      </c>
      <c r="DS60" s="19">
        <f>(BS60/0.074)/(((BR60/0.195)*(BT60/0.259))^0.5)</f>
        <v>0.76572571271775702</v>
      </c>
      <c r="DT60" s="23">
        <f t="shared" ref="DT60:DT76" si="148">1/AY60</f>
        <v>7.4626865671641792E-4</v>
      </c>
      <c r="DU60" s="22">
        <f t="shared" ref="DU60:DU75" si="149">BJ60/BI60</f>
        <v>9.8976109215017054</v>
      </c>
      <c r="DV60" s="22">
        <f>BK60/BM60</f>
        <v>14.567901234567902</v>
      </c>
      <c r="DW60" s="22">
        <f t="shared" ref="DW60:DW75" si="150">1.74+LOG(BK60/BI60)-1.92*LOG(BJ60/BI60)</f>
        <v>-0.5664039379340895</v>
      </c>
      <c r="DX60" s="22">
        <f t="shared" ref="DX60:DX75" si="151">BK60*100/BJ60</f>
        <v>4.068965517241379</v>
      </c>
      <c r="DY60" s="22">
        <f t="shared" ref="DY60:DY74" si="152">CC60*100/BJ60</f>
        <v>10.586206896551724</v>
      </c>
      <c r="DZ60" s="19">
        <f t="shared" ref="DZ60:DZ76" si="153">EK60*100/AY60</f>
        <v>1.1324088240772987</v>
      </c>
      <c r="EA60" s="23"/>
      <c r="EB60" s="19">
        <f t="shared" ref="EB60:EB75" si="154">CC60/BK60</f>
        <v>2.601694915254237</v>
      </c>
      <c r="EC60" s="19">
        <f>(CB60/0.144)/(CH60*CI60)^(1/2)</f>
        <v>0.73852207949952653</v>
      </c>
      <c r="ED60" s="19"/>
      <c r="EE60" s="19">
        <f t="shared" ref="EE60:EE76" si="155">100*G60/($G60+$H60+$I60+$J60+$K60+$L60+$M60+$N60+$O60+$P60)</f>
        <v>42.399604725617714</v>
      </c>
      <c r="EF60" s="19">
        <f t="shared" ref="EF60:EF76" si="156">100*H60/($G60+$H60+$I60+$J60+$K60+$L60+$M60+$N60+$O60+$P60)</f>
        <v>0.7431479748213432</v>
      </c>
      <c r="EG60" s="19">
        <f t="shared" ref="EG60:EG76" si="157">100*I60/($G60+$H60+$I60+$J60+$K60+$L60+$M60+$N60+$O60+$P60)</f>
        <v>11.920495217742356</v>
      </c>
      <c r="EH60" s="19">
        <f t="shared" ref="EH60:EH76" si="158">100*J60/($G60+$H60+$I60+$J60+$K60+$L60+$M60+$N60+$O60+$P60)</f>
        <v>7.2370561699358475</v>
      </c>
      <c r="EI60" s="19">
        <f t="shared" ref="EI60:EI76" si="159">100*K60/($G60+$H60+$I60+$J60+$K60+$L60+$M60+$N60+$O60+$P60)</f>
        <v>0.12051048240346106</v>
      </c>
      <c r="EJ60" s="19">
        <f t="shared" ref="EJ60:EJ76" si="160">100*L60/($G60+$H60+$I60+$J60+$K60+$L60+$M60+$N60+$O60+$P60)</f>
        <v>12.754026054366294</v>
      </c>
      <c r="EK60" s="19">
        <f t="shared" ref="EK60:EK76" si="161">100*M60/($G60+$H60+$I60+$J60+$K60+$L60+$M60+$N60+$O60+$P60)</f>
        <v>15.174278242635804</v>
      </c>
      <c r="EL60" s="19">
        <f t="shared" ref="EL60:EL76" si="162">100*N60/($G60+$H60+$I60+$J60+$K60+$L60+$M60+$N60+$O60+$P60)</f>
        <v>1.0645092612305727</v>
      </c>
      <c r="EM60" s="19">
        <f t="shared" ref="EM60:EM76" si="163">100*O60/($G60+$H60+$I60+$J60+$K60+$L60+$M60+$N60+$O60+$P60)</f>
        <v>8.2449255044367948</v>
      </c>
      <c r="EN60" s="19">
        <f t="shared" ref="EN60:EN76" si="164">100*P60/($G60+$H60+$I60+$J60+$K60+$L60+$M60+$N60+$O60+$P60)</f>
        <v>0.34144636680980633</v>
      </c>
      <c r="EO60" s="19">
        <f t="shared" ref="EO60:EO76" si="165">SUM(EE60:EN60)</f>
        <v>99.999999999999986</v>
      </c>
    </row>
    <row r="61" spans="1:145" s="36" customFormat="1">
      <c r="A61" s="36" t="s">
        <v>170</v>
      </c>
      <c r="B61" s="36">
        <v>5</v>
      </c>
      <c r="C61" s="36" t="s">
        <v>163</v>
      </c>
      <c r="D61" s="36" t="s">
        <v>180</v>
      </c>
      <c r="E61" s="36" t="s">
        <v>212</v>
      </c>
      <c r="G61" s="19">
        <v>41.2</v>
      </c>
      <c r="H61" s="19">
        <v>0.67</v>
      </c>
      <c r="I61" s="19">
        <v>11.51</v>
      </c>
      <c r="J61" s="19">
        <v>6.8068</v>
      </c>
      <c r="K61" s="19">
        <v>0.11</v>
      </c>
      <c r="L61" s="19">
        <v>12.76</v>
      </c>
      <c r="M61" s="19">
        <v>15.73</v>
      </c>
      <c r="N61" s="19">
        <v>1.07</v>
      </c>
      <c r="O61" s="19">
        <v>8.43</v>
      </c>
      <c r="P61" s="19">
        <v>0.39</v>
      </c>
      <c r="Q61" s="19">
        <v>1.86</v>
      </c>
      <c r="R61" s="19"/>
      <c r="S61" s="19">
        <f t="shared" si="121"/>
        <v>100.5368</v>
      </c>
      <c r="U61" s="75"/>
      <c r="V61" s="75"/>
      <c r="W61" s="19"/>
      <c r="X61" s="19"/>
      <c r="Y61" s="19"/>
      <c r="Z61" s="19"/>
      <c r="AA61" s="19"/>
      <c r="AB61" s="22"/>
      <c r="AC61" s="22"/>
      <c r="AF61" s="19">
        <f t="shared" si="122"/>
        <v>0.8137367466338048</v>
      </c>
      <c r="AG61" s="20">
        <f t="shared" si="123"/>
        <v>4016.65</v>
      </c>
      <c r="AH61" s="20">
        <f t="shared" si="124"/>
        <v>69985.86</v>
      </c>
      <c r="AI61" s="20">
        <f t="shared" si="125"/>
        <v>1701.96</v>
      </c>
      <c r="AJ61" s="19">
        <f t="shared" si="126"/>
        <v>9.5</v>
      </c>
      <c r="AK61" s="19">
        <f t="shared" si="127"/>
        <v>7.8785046728971952</v>
      </c>
      <c r="AL61" s="19">
        <f t="shared" si="128"/>
        <v>0.12692763938315541</v>
      </c>
      <c r="AM61" s="19">
        <f t="shared" si="129"/>
        <v>1.3666377063423112</v>
      </c>
      <c r="AN61" s="19">
        <f t="shared" si="130"/>
        <v>0.7324066029539531</v>
      </c>
      <c r="AO61" s="19">
        <f t="shared" si="131"/>
        <v>0.94566862940135177</v>
      </c>
      <c r="AP61" s="19">
        <f t="shared" si="132"/>
        <v>1.0574528634126759</v>
      </c>
      <c r="AQ61" s="19">
        <f t="shared" si="133"/>
        <v>0.29151324687652913</v>
      </c>
      <c r="AR61" s="20">
        <f t="shared" si="134"/>
        <v>209.91962554059367</v>
      </c>
      <c r="AS61" s="20">
        <f t="shared" si="135"/>
        <v>2576.0648484684652</v>
      </c>
      <c r="AT61" s="19"/>
      <c r="AU61" s="19">
        <f t="shared" si="136"/>
        <v>0.20461165048543686</v>
      </c>
      <c r="AV61" s="19">
        <f t="shared" si="137"/>
        <v>0.7927407350019644</v>
      </c>
      <c r="AW61" s="19"/>
      <c r="AX61" s="20">
        <v>483</v>
      </c>
      <c r="AY61" s="20">
        <v>1724</v>
      </c>
      <c r="AZ61" s="20">
        <v>642</v>
      </c>
      <c r="BA61" s="22"/>
      <c r="BB61" s="22"/>
      <c r="BC61" s="22">
        <v>126</v>
      </c>
      <c r="BD61" s="22">
        <v>280</v>
      </c>
      <c r="BE61" s="22"/>
      <c r="BF61" s="22">
        <v>139</v>
      </c>
      <c r="BG61" s="22"/>
      <c r="BH61" s="22"/>
      <c r="BI61" s="36">
        <v>37</v>
      </c>
      <c r="BJ61" s="20">
        <v>283</v>
      </c>
      <c r="BK61" s="20">
        <v>13</v>
      </c>
      <c r="BL61" s="22"/>
      <c r="BM61" s="22"/>
      <c r="BN61" s="20">
        <v>86</v>
      </c>
      <c r="BO61" s="20">
        <v>177</v>
      </c>
      <c r="BP61" s="20"/>
      <c r="BQ61" s="22"/>
      <c r="BR61" s="22"/>
      <c r="BS61" s="22"/>
      <c r="BT61" s="22"/>
      <c r="BU61" s="22"/>
      <c r="BV61" s="22"/>
      <c r="BW61" s="19"/>
      <c r="BX61" s="19"/>
      <c r="BY61" s="19"/>
      <c r="BZ61" s="22"/>
      <c r="CA61" s="19"/>
      <c r="CB61" s="20"/>
      <c r="CC61" s="20">
        <v>36</v>
      </c>
      <c r="CD61" s="22"/>
      <c r="CE61" s="22"/>
      <c r="CG61" s="22">
        <f t="shared" si="138"/>
        <v>355.37190082644628</v>
      </c>
      <c r="CH61" s="22">
        <f t="shared" si="139"/>
        <v>278.74015748031496</v>
      </c>
      <c r="CI61" s="22"/>
      <c r="CJ61" s="22"/>
      <c r="CK61" s="22"/>
      <c r="CL61" s="22"/>
      <c r="CM61" s="22"/>
      <c r="CN61" s="22"/>
      <c r="CO61" s="22"/>
      <c r="CP61" s="22"/>
      <c r="CQ61" s="22"/>
      <c r="CR61" s="22"/>
      <c r="CS61" s="22"/>
      <c r="CT61" s="22"/>
      <c r="CU61" s="22">
        <f t="shared" si="140"/>
        <v>49.384615384615387</v>
      </c>
      <c r="CV61" s="22">
        <f t="shared" si="141"/>
        <v>7.4651162790697674</v>
      </c>
      <c r="CW61" s="22">
        <f t="shared" si="142"/>
        <v>6.615384615384615</v>
      </c>
      <c r="CX61" s="20">
        <f t="shared" si="143"/>
        <v>308.97307692307692</v>
      </c>
      <c r="CY61" s="22"/>
      <c r="CZ61" s="22"/>
      <c r="DA61" s="22"/>
      <c r="DB61" s="22">
        <f t="shared" si="144"/>
        <v>21.76923076923077</v>
      </c>
      <c r="DC61" s="22">
        <f t="shared" si="145"/>
        <v>17.833333333333332</v>
      </c>
      <c r="DD61" s="22"/>
      <c r="DE61" s="22"/>
      <c r="DF61" s="22"/>
      <c r="DG61" s="19">
        <f t="shared" si="146"/>
        <v>0.35135135135135137</v>
      </c>
      <c r="DH61" s="20">
        <f t="shared" si="147"/>
        <v>813.7890697674419</v>
      </c>
      <c r="DI61" s="19"/>
      <c r="DJ61" s="22"/>
      <c r="DK61" s="22"/>
      <c r="DL61" s="22"/>
      <c r="DM61" s="22"/>
      <c r="DN61" s="76"/>
      <c r="DO61" s="22"/>
      <c r="DP61" s="20"/>
      <c r="DQ61" s="22"/>
      <c r="DR61" s="22"/>
      <c r="DS61" s="19"/>
      <c r="DT61" s="23">
        <f t="shared" si="148"/>
        <v>5.8004640371229696E-4</v>
      </c>
      <c r="DU61" s="22">
        <f t="shared" si="149"/>
        <v>7.6486486486486482</v>
      </c>
      <c r="DV61" s="22"/>
      <c r="DW61" s="22">
        <f t="shared" si="150"/>
        <v>-0.41074101775816496</v>
      </c>
      <c r="DX61" s="22">
        <f t="shared" si="151"/>
        <v>4.5936395759717312</v>
      </c>
      <c r="DY61" s="22">
        <f t="shared" si="152"/>
        <v>12.720848056537102</v>
      </c>
      <c r="DZ61" s="19">
        <f t="shared" si="153"/>
        <v>0.92464793450886451</v>
      </c>
      <c r="EA61" s="23"/>
      <c r="EB61" s="19">
        <f t="shared" si="154"/>
        <v>2.7692307692307692</v>
      </c>
      <c r="EC61" s="19"/>
      <c r="ED61" s="19"/>
      <c r="EE61" s="19">
        <f t="shared" si="155"/>
        <v>41.752468665380313</v>
      </c>
      <c r="EF61" s="19">
        <f t="shared" si="156"/>
        <v>0.67898432052924296</v>
      </c>
      <c r="EG61" s="19">
        <f t="shared" si="157"/>
        <v>11.664342581032217</v>
      </c>
      <c r="EH61" s="19">
        <f t="shared" si="158"/>
        <v>6.8980753328036579</v>
      </c>
      <c r="EI61" s="19">
        <f t="shared" si="159"/>
        <v>0.11147503769883094</v>
      </c>
      <c r="EJ61" s="19">
        <f t="shared" si="160"/>
        <v>12.931104373064388</v>
      </c>
      <c r="EK61" s="19">
        <f t="shared" si="161"/>
        <v>15.940930390932824</v>
      </c>
      <c r="EL61" s="19">
        <f t="shared" si="162"/>
        <v>1.0843480939795371</v>
      </c>
      <c r="EM61" s="19">
        <f t="shared" si="163"/>
        <v>8.5430415254649521</v>
      </c>
      <c r="EN61" s="19">
        <f t="shared" si="164"/>
        <v>0.39522967911403695</v>
      </c>
      <c r="EO61" s="19">
        <f t="shared" si="165"/>
        <v>100.00000000000001</v>
      </c>
    </row>
    <row r="62" spans="1:145" s="36" customFormat="1">
      <c r="A62" s="36" t="s">
        <v>170</v>
      </c>
      <c r="B62" s="36">
        <v>5</v>
      </c>
      <c r="C62" s="36" t="s">
        <v>163</v>
      </c>
      <c r="D62" s="36" t="s">
        <v>180</v>
      </c>
      <c r="E62" s="36" t="s">
        <v>212</v>
      </c>
      <c r="G62" s="19">
        <v>41.46</v>
      </c>
      <c r="H62" s="19">
        <v>0.72</v>
      </c>
      <c r="I62" s="19">
        <v>12</v>
      </c>
      <c r="J62" s="19">
        <v>6.9735999999999994</v>
      </c>
      <c r="K62" s="19">
        <v>0.11</v>
      </c>
      <c r="L62" s="19">
        <v>12.93</v>
      </c>
      <c r="M62" s="19">
        <v>15.61</v>
      </c>
      <c r="N62" s="19">
        <v>1.1299999999999999</v>
      </c>
      <c r="O62" s="19">
        <v>8.5</v>
      </c>
      <c r="P62" s="19">
        <v>0.41</v>
      </c>
      <c r="Q62" s="19">
        <v>0.68</v>
      </c>
      <c r="R62" s="19"/>
      <c r="S62" s="19">
        <f t="shared" si="121"/>
        <v>100.5236</v>
      </c>
      <c r="U62" s="75"/>
      <c r="V62" s="75"/>
      <c r="W62" s="19"/>
      <c r="X62" s="19"/>
      <c r="Y62" s="19"/>
      <c r="Z62" s="19"/>
      <c r="AA62" s="19"/>
      <c r="AB62" s="22"/>
      <c r="AC62" s="22"/>
      <c r="AF62" s="19">
        <f t="shared" si="122"/>
        <v>0.81206760996702276</v>
      </c>
      <c r="AG62" s="20">
        <f t="shared" si="123"/>
        <v>4316.3999999999996</v>
      </c>
      <c r="AH62" s="20">
        <f t="shared" si="124"/>
        <v>70567</v>
      </c>
      <c r="AI62" s="20">
        <f t="shared" si="125"/>
        <v>1789.2399999999998</v>
      </c>
      <c r="AJ62" s="19">
        <f t="shared" si="126"/>
        <v>9.629999999999999</v>
      </c>
      <c r="AK62" s="19">
        <f t="shared" si="127"/>
        <v>7.5221238938053103</v>
      </c>
      <c r="AL62" s="19">
        <f t="shared" si="128"/>
        <v>0.13294117647058823</v>
      </c>
      <c r="AM62" s="19">
        <f t="shared" si="129"/>
        <v>1.3008333333333333</v>
      </c>
      <c r="AN62" s="19">
        <f t="shared" si="130"/>
        <v>0.70833333333333337</v>
      </c>
      <c r="AO62" s="19">
        <f t="shared" si="131"/>
        <v>0.9215929321766011</v>
      </c>
      <c r="AP62" s="19">
        <f t="shared" si="132"/>
        <v>1.0850777659917796</v>
      </c>
      <c r="AQ62" s="19">
        <f t="shared" si="133"/>
        <v>0.30426024296487686</v>
      </c>
      <c r="AR62" s="20">
        <f t="shared" si="134"/>
        <v>181.66082198983207</v>
      </c>
      <c r="AS62" s="20">
        <f t="shared" si="135"/>
        <v>2551.1779359362704</v>
      </c>
      <c r="AT62" s="19"/>
      <c r="AU62" s="19">
        <f t="shared" si="136"/>
        <v>0.2050168837433671</v>
      </c>
      <c r="AV62" s="19">
        <f t="shared" si="137"/>
        <v>0.76668435951875435</v>
      </c>
      <c r="AW62" s="19"/>
      <c r="AX62" s="20">
        <v>475</v>
      </c>
      <c r="AY62" s="20">
        <v>1778</v>
      </c>
      <c r="AZ62" s="20">
        <v>670</v>
      </c>
      <c r="BA62" s="22"/>
      <c r="BB62" s="22"/>
      <c r="BC62" s="22">
        <v>135</v>
      </c>
      <c r="BD62" s="22">
        <v>793</v>
      </c>
      <c r="BE62" s="22"/>
      <c r="BF62" s="22">
        <v>149</v>
      </c>
      <c r="BG62" s="22"/>
      <c r="BH62" s="22"/>
      <c r="BI62" s="36">
        <v>39</v>
      </c>
      <c r="BJ62" s="20">
        <v>312</v>
      </c>
      <c r="BK62" s="20">
        <v>15</v>
      </c>
      <c r="BL62" s="22"/>
      <c r="BM62" s="22"/>
      <c r="BN62" s="20">
        <v>87</v>
      </c>
      <c r="BO62" s="20">
        <v>186</v>
      </c>
      <c r="BP62" s="20"/>
      <c r="BQ62" s="22"/>
      <c r="BR62" s="22"/>
      <c r="BS62" s="22"/>
      <c r="BT62" s="22"/>
      <c r="BU62" s="22"/>
      <c r="BV62" s="22"/>
      <c r="BW62" s="19"/>
      <c r="BX62" s="19"/>
      <c r="BY62" s="19"/>
      <c r="BZ62" s="22"/>
      <c r="CA62" s="19"/>
      <c r="CB62" s="20"/>
      <c r="CC62" s="20">
        <v>38</v>
      </c>
      <c r="CD62" s="22"/>
      <c r="CE62" s="22"/>
      <c r="CG62" s="22">
        <f t="shared" si="138"/>
        <v>359.50413223140498</v>
      </c>
      <c r="CH62" s="22">
        <f t="shared" si="139"/>
        <v>292.91338582677167</v>
      </c>
      <c r="CI62" s="22"/>
      <c r="CJ62" s="22"/>
      <c r="CK62" s="22"/>
      <c r="CL62" s="22"/>
      <c r="CM62" s="22"/>
      <c r="CN62" s="22"/>
      <c r="CO62" s="22"/>
      <c r="CP62" s="22"/>
      <c r="CQ62" s="22"/>
      <c r="CR62" s="22"/>
      <c r="CS62" s="22"/>
      <c r="CT62" s="22"/>
      <c r="CU62" s="22">
        <f t="shared" si="140"/>
        <v>44.666666666666664</v>
      </c>
      <c r="CV62" s="22">
        <f t="shared" si="141"/>
        <v>7.7011494252873565</v>
      </c>
      <c r="CW62" s="22">
        <f t="shared" si="142"/>
        <v>5.8</v>
      </c>
      <c r="CX62" s="20">
        <f t="shared" si="143"/>
        <v>287.76</v>
      </c>
      <c r="CY62" s="22"/>
      <c r="CZ62" s="22"/>
      <c r="DA62" s="22"/>
      <c r="DB62" s="22">
        <f t="shared" si="144"/>
        <v>20.8</v>
      </c>
      <c r="DC62" s="22">
        <f t="shared" si="145"/>
        <v>17.631578947368421</v>
      </c>
      <c r="DD62" s="22"/>
      <c r="DE62" s="22"/>
      <c r="DF62" s="22"/>
      <c r="DG62" s="19">
        <f t="shared" si="146"/>
        <v>0.38461538461538464</v>
      </c>
      <c r="DH62" s="20">
        <f t="shared" si="147"/>
        <v>811.11494252873558</v>
      </c>
      <c r="DI62" s="19"/>
      <c r="DJ62" s="22"/>
      <c r="DK62" s="22"/>
      <c r="DL62" s="22"/>
      <c r="DM62" s="22"/>
      <c r="DN62" s="76"/>
      <c r="DO62" s="22"/>
      <c r="DP62" s="20"/>
      <c r="DQ62" s="22"/>
      <c r="DR62" s="22"/>
      <c r="DS62" s="19"/>
      <c r="DT62" s="23">
        <f t="shared" si="148"/>
        <v>5.6242969628796406E-4</v>
      </c>
      <c r="DU62" s="22">
        <f t="shared" si="149"/>
        <v>8</v>
      </c>
      <c r="DV62" s="22"/>
      <c r="DW62" s="22">
        <f t="shared" si="150"/>
        <v>-0.40890612299534945</v>
      </c>
      <c r="DX62" s="22">
        <f t="shared" si="151"/>
        <v>4.8076923076923075</v>
      </c>
      <c r="DY62" s="22">
        <f t="shared" si="152"/>
        <v>12.179487179487179</v>
      </c>
      <c r="DZ62" s="19">
        <f t="shared" si="153"/>
        <v>0.87932802493651252</v>
      </c>
      <c r="EA62" s="95"/>
      <c r="EB62" s="19">
        <f t="shared" si="154"/>
        <v>2.5333333333333332</v>
      </c>
      <c r="EC62" s="19"/>
      <c r="ED62" s="19"/>
      <c r="EE62" s="19">
        <f t="shared" si="155"/>
        <v>41.524945014001901</v>
      </c>
      <c r="EF62" s="19">
        <f t="shared" si="156"/>
        <v>0.72112784394793461</v>
      </c>
      <c r="EG62" s="19">
        <f t="shared" si="157"/>
        <v>12.018797399132243</v>
      </c>
      <c r="EH62" s="19">
        <f t="shared" si="158"/>
        <v>6.9845237952157166</v>
      </c>
      <c r="EI62" s="19">
        <f t="shared" si="159"/>
        <v>0.11017230949204557</v>
      </c>
      <c r="EJ62" s="19">
        <f t="shared" si="160"/>
        <v>12.950254197564993</v>
      </c>
      <c r="EK62" s="19">
        <f t="shared" si="161"/>
        <v>15.634452283371193</v>
      </c>
      <c r="EL62" s="19">
        <f t="shared" si="162"/>
        <v>1.1317700884182862</v>
      </c>
      <c r="EM62" s="19">
        <f t="shared" si="163"/>
        <v>8.5133148243853398</v>
      </c>
      <c r="EN62" s="19">
        <f t="shared" si="164"/>
        <v>0.41064224447035164</v>
      </c>
      <c r="EO62" s="19">
        <f t="shared" si="165"/>
        <v>100</v>
      </c>
    </row>
    <row r="63" spans="1:145" s="36" customFormat="1">
      <c r="A63" s="36" t="s">
        <v>170</v>
      </c>
      <c r="B63" s="36">
        <v>5</v>
      </c>
      <c r="C63" s="36" t="s">
        <v>163</v>
      </c>
      <c r="D63" s="36" t="s">
        <v>180</v>
      </c>
      <c r="E63" s="36" t="s">
        <v>212</v>
      </c>
      <c r="G63" s="19">
        <v>41.55</v>
      </c>
      <c r="H63" s="19">
        <v>0.71</v>
      </c>
      <c r="I63" s="19">
        <v>12.17</v>
      </c>
      <c r="J63" s="19">
        <v>6.9016000000000002</v>
      </c>
      <c r="K63" s="19">
        <v>0.11</v>
      </c>
      <c r="L63" s="19">
        <v>12.76</v>
      </c>
      <c r="M63" s="19">
        <v>15.62</v>
      </c>
      <c r="N63" s="19">
        <v>1.2</v>
      </c>
      <c r="O63" s="19">
        <v>8.5299999999999994</v>
      </c>
      <c r="P63" s="19">
        <v>0.42</v>
      </c>
      <c r="Q63" s="19">
        <v>0.55000000000000004</v>
      </c>
      <c r="R63" s="19"/>
      <c r="S63" s="19">
        <f t="shared" si="121"/>
        <v>100.52160000000001</v>
      </c>
      <c r="U63" s="75"/>
      <c r="V63" s="75"/>
      <c r="W63" s="19"/>
      <c r="X63" s="19"/>
      <c r="Y63" s="19"/>
      <c r="Z63" s="19"/>
      <c r="AA63" s="19"/>
      <c r="AB63" s="22"/>
      <c r="AC63" s="22"/>
      <c r="AF63" s="19">
        <f t="shared" si="122"/>
        <v>0.81163126576276745</v>
      </c>
      <c r="AG63" s="20">
        <f t="shared" si="123"/>
        <v>4256.45</v>
      </c>
      <c r="AH63" s="20">
        <f t="shared" si="124"/>
        <v>70816.06</v>
      </c>
      <c r="AI63" s="20">
        <f t="shared" si="125"/>
        <v>1832.8799999999999</v>
      </c>
      <c r="AJ63" s="19">
        <f t="shared" si="126"/>
        <v>9.7299999999999986</v>
      </c>
      <c r="AK63" s="19">
        <f t="shared" si="127"/>
        <v>7.1083333333333334</v>
      </c>
      <c r="AL63" s="19">
        <f t="shared" si="128"/>
        <v>0.1406799531066823</v>
      </c>
      <c r="AM63" s="19">
        <f t="shared" si="129"/>
        <v>1.2834839769926047</v>
      </c>
      <c r="AN63" s="19">
        <f t="shared" si="130"/>
        <v>0.70090386195562859</v>
      </c>
      <c r="AO63" s="19">
        <f t="shared" si="131"/>
        <v>0.92084961371806984</v>
      </c>
      <c r="AP63" s="19">
        <f t="shared" si="132"/>
        <v>1.0859536509575636</v>
      </c>
      <c r="AQ63" s="19">
        <f t="shared" si="133"/>
        <v>0.307278793600883</v>
      </c>
      <c r="AR63" s="20">
        <f t="shared" si="134"/>
        <v>157.61428457823195</v>
      </c>
      <c r="AS63" s="20">
        <f t="shared" si="135"/>
        <v>2543.8781716578133</v>
      </c>
      <c r="AT63" s="19"/>
      <c r="AU63" s="19">
        <f t="shared" si="136"/>
        <v>0.20529482551143202</v>
      </c>
      <c r="AV63" s="19">
        <f t="shared" si="137"/>
        <v>0.75864286374730239</v>
      </c>
      <c r="AW63" s="19"/>
      <c r="AX63" s="20">
        <v>480</v>
      </c>
      <c r="AY63" s="20">
        <v>1781</v>
      </c>
      <c r="AZ63" s="20">
        <v>690</v>
      </c>
      <c r="BA63" s="22"/>
      <c r="BB63" s="22"/>
      <c r="BC63" s="22">
        <v>134</v>
      </c>
      <c r="BD63" s="22">
        <v>787</v>
      </c>
      <c r="BE63" s="22"/>
      <c r="BF63" s="22">
        <v>150</v>
      </c>
      <c r="BG63" s="22"/>
      <c r="BH63" s="22"/>
      <c r="BI63" s="36">
        <v>39</v>
      </c>
      <c r="BJ63" s="20">
        <v>317</v>
      </c>
      <c r="BK63" s="20">
        <v>15</v>
      </c>
      <c r="BL63" s="22"/>
      <c r="BM63" s="22"/>
      <c r="BN63" s="20">
        <v>90</v>
      </c>
      <c r="BO63" s="20">
        <v>185</v>
      </c>
      <c r="BP63" s="20"/>
      <c r="BQ63" s="22"/>
      <c r="BR63" s="22"/>
      <c r="BS63" s="22"/>
      <c r="BT63" s="22"/>
      <c r="BU63" s="22"/>
      <c r="BV63" s="22"/>
      <c r="BW63" s="19"/>
      <c r="BX63" s="19"/>
      <c r="BY63" s="19"/>
      <c r="BZ63" s="22"/>
      <c r="CA63" s="19"/>
      <c r="CB63" s="20"/>
      <c r="CC63" s="20">
        <v>36</v>
      </c>
      <c r="CD63" s="22"/>
      <c r="CE63" s="22"/>
      <c r="CG63" s="22">
        <f t="shared" si="138"/>
        <v>371.90082644628103</v>
      </c>
      <c r="CH63" s="22">
        <f t="shared" si="139"/>
        <v>291.33858267716533</v>
      </c>
      <c r="CI63" s="22"/>
      <c r="CJ63" s="22"/>
      <c r="CK63" s="22"/>
      <c r="CL63" s="22"/>
      <c r="CM63" s="22"/>
      <c r="CN63" s="22"/>
      <c r="CO63" s="22"/>
      <c r="CP63" s="22"/>
      <c r="CQ63" s="22"/>
      <c r="CR63" s="22"/>
      <c r="CS63" s="22"/>
      <c r="CT63" s="22"/>
      <c r="CU63" s="22">
        <f t="shared" si="140"/>
        <v>46</v>
      </c>
      <c r="CV63" s="22">
        <f t="shared" si="141"/>
        <v>7.666666666666667</v>
      </c>
      <c r="CW63" s="22">
        <f t="shared" si="142"/>
        <v>6</v>
      </c>
      <c r="CX63" s="20">
        <f t="shared" si="143"/>
        <v>283.76333333333332</v>
      </c>
      <c r="CY63" s="22"/>
      <c r="CZ63" s="22"/>
      <c r="DA63" s="22"/>
      <c r="DB63" s="22">
        <f t="shared" si="144"/>
        <v>21.133333333333333</v>
      </c>
      <c r="DC63" s="22">
        <f t="shared" si="145"/>
        <v>19.166666666666668</v>
      </c>
      <c r="DD63" s="22"/>
      <c r="DE63" s="22"/>
      <c r="DF63" s="22"/>
      <c r="DG63" s="19">
        <f t="shared" si="146"/>
        <v>0.38461538461538464</v>
      </c>
      <c r="DH63" s="20">
        <f t="shared" si="147"/>
        <v>786.84511111111112</v>
      </c>
      <c r="DI63" s="19"/>
      <c r="DJ63" s="22"/>
      <c r="DK63" s="22"/>
      <c r="DL63" s="22"/>
      <c r="DM63" s="22"/>
      <c r="DN63" s="76"/>
      <c r="DO63" s="22"/>
      <c r="DP63" s="20"/>
      <c r="DQ63" s="22"/>
      <c r="DR63" s="22"/>
      <c r="DS63" s="19"/>
      <c r="DT63" s="23">
        <f t="shared" si="148"/>
        <v>5.6148231330713087E-4</v>
      </c>
      <c r="DU63" s="22">
        <f t="shared" si="149"/>
        <v>8.1282051282051277</v>
      </c>
      <c r="DV63" s="22"/>
      <c r="DW63" s="22">
        <f t="shared" si="150"/>
        <v>-0.4221630859380221</v>
      </c>
      <c r="DX63" s="22">
        <f t="shared" si="151"/>
        <v>4.7318611987381702</v>
      </c>
      <c r="DY63" s="22">
        <f t="shared" si="152"/>
        <v>11.356466876971609</v>
      </c>
      <c r="DZ63" s="19">
        <f t="shared" si="153"/>
        <v>0.87728452219004027</v>
      </c>
      <c r="EA63" s="23"/>
      <c r="EB63" s="19">
        <f t="shared" si="154"/>
        <v>2.4</v>
      </c>
      <c r="EC63" s="19"/>
      <c r="ED63" s="19"/>
      <c r="EE63" s="19">
        <f t="shared" si="155"/>
        <v>41.561803552208822</v>
      </c>
      <c r="EF63" s="19">
        <f t="shared" si="156"/>
        <v>0.71020169728202798</v>
      </c>
      <c r="EG63" s="19">
        <f t="shared" si="157"/>
        <v>12.173457261862367</v>
      </c>
      <c r="EH63" s="19">
        <f t="shared" si="158"/>
        <v>6.9035606112135834</v>
      </c>
      <c r="EI63" s="19">
        <f t="shared" si="159"/>
        <v>0.1100312488746804</v>
      </c>
      <c r="EJ63" s="19">
        <f t="shared" si="160"/>
        <v>12.763624869462927</v>
      </c>
      <c r="EK63" s="19">
        <f t="shared" si="161"/>
        <v>15.624437340204617</v>
      </c>
      <c r="EL63" s="19">
        <f t="shared" si="162"/>
        <v>1.2003408968146954</v>
      </c>
      <c r="EM63" s="19">
        <f t="shared" si="163"/>
        <v>8.5324232081911244</v>
      </c>
      <c r="EN63" s="19">
        <f t="shared" si="164"/>
        <v>0.42011931388514334</v>
      </c>
      <c r="EO63" s="19">
        <f t="shared" si="165"/>
        <v>99.999999999999986</v>
      </c>
    </row>
    <row r="64" spans="1:145" s="36" customFormat="1">
      <c r="A64" s="36" t="s">
        <v>170</v>
      </c>
      <c r="B64" s="36">
        <v>5</v>
      </c>
      <c r="C64" s="36" t="s">
        <v>163</v>
      </c>
      <c r="D64" s="36" t="s">
        <v>180</v>
      </c>
      <c r="E64" s="36" t="s">
        <v>212</v>
      </c>
      <c r="G64" s="19">
        <v>41.46</v>
      </c>
      <c r="H64" s="19">
        <v>0.78</v>
      </c>
      <c r="I64" s="19">
        <v>11.62</v>
      </c>
      <c r="J64" s="19">
        <v>7.1480000000000006</v>
      </c>
      <c r="K64" s="19">
        <v>0.11</v>
      </c>
      <c r="L64" s="19">
        <v>12.7</v>
      </c>
      <c r="M64" s="19">
        <v>15.64</v>
      </c>
      <c r="N64" s="19">
        <v>1.1299999999999999</v>
      </c>
      <c r="O64" s="19">
        <v>8.31</v>
      </c>
      <c r="P64" s="19">
        <v>0.42</v>
      </c>
      <c r="Q64" s="19">
        <v>1.1100000000000001</v>
      </c>
      <c r="R64" s="19"/>
      <c r="S64" s="19">
        <f t="shared" si="121"/>
        <v>100.428</v>
      </c>
      <c r="U64" s="75"/>
      <c r="V64" s="75"/>
      <c r="W64" s="19"/>
      <c r="X64" s="19"/>
      <c r="Y64" s="19"/>
      <c r="Z64" s="19"/>
      <c r="AA64" s="19"/>
      <c r="AB64" s="22"/>
      <c r="AC64" s="22"/>
      <c r="AF64" s="19">
        <f t="shared" si="122"/>
        <v>0.8054719677550376</v>
      </c>
      <c r="AG64" s="20">
        <f t="shared" si="123"/>
        <v>4676.1000000000004</v>
      </c>
      <c r="AH64" s="20">
        <f t="shared" si="124"/>
        <v>68989.62000000001</v>
      </c>
      <c r="AI64" s="20">
        <f t="shared" si="125"/>
        <v>1832.8799999999999</v>
      </c>
      <c r="AJ64" s="19">
        <f t="shared" si="126"/>
        <v>9.4400000000000013</v>
      </c>
      <c r="AK64" s="19">
        <f t="shared" si="127"/>
        <v>7.3539823008849572</v>
      </c>
      <c r="AL64" s="19">
        <f t="shared" si="128"/>
        <v>0.13598074608904931</v>
      </c>
      <c r="AM64" s="19">
        <f t="shared" si="129"/>
        <v>1.3459552495697074</v>
      </c>
      <c r="AN64" s="19">
        <f t="shared" si="130"/>
        <v>0.71514629948364894</v>
      </c>
      <c r="AO64" s="19">
        <f t="shared" si="131"/>
        <v>0.93403299323995692</v>
      </c>
      <c r="AP64" s="19">
        <f t="shared" si="132"/>
        <v>1.0706259920553962</v>
      </c>
      <c r="AQ64" s="19">
        <f t="shared" si="133"/>
        <v>0.29575849071469063</v>
      </c>
      <c r="AR64" s="20">
        <f t="shared" si="134"/>
        <v>221.38934748398586</v>
      </c>
      <c r="AS64" s="20">
        <f t="shared" si="135"/>
        <v>2548.9128843928661</v>
      </c>
      <c r="AT64" s="19"/>
      <c r="AU64" s="19">
        <f t="shared" si="136"/>
        <v>0.20043415340086831</v>
      </c>
      <c r="AV64" s="19">
        <f t="shared" si="137"/>
        <v>0.77405856364493464</v>
      </c>
      <c r="AW64" s="19"/>
      <c r="AX64" s="20">
        <v>477</v>
      </c>
      <c r="AY64" s="20">
        <v>1784</v>
      </c>
      <c r="AZ64" s="20">
        <v>698</v>
      </c>
      <c r="BA64" s="22"/>
      <c r="BB64" s="22"/>
      <c r="BC64" s="22">
        <v>146</v>
      </c>
      <c r="BD64" s="22">
        <v>812</v>
      </c>
      <c r="BE64" s="22"/>
      <c r="BF64" s="22">
        <v>139</v>
      </c>
      <c r="BG64" s="22"/>
      <c r="BH64" s="22"/>
      <c r="BI64" s="36">
        <v>41</v>
      </c>
      <c r="BJ64" s="20">
        <v>335</v>
      </c>
      <c r="BK64" s="20">
        <v>15</v>
      </c>
      <c r="BL64" s="22"/>
      <c r="BM64" s="22"/>
      <c r="BN64" s="20">
        <v>93</v>
      </c>
      <c r="BO64" s="20">
        <v>198</v>
      </c>
      <c r="BP64" s="20"/>
      <c r="BQ64" s="22"/>
      <c r="BR64" s="22"/>
      <c r="BS64" s="22"/>
      <c r="BT64" s="22"/>
      <c r="BU64" s="22"/>
      <c r="BV64" s="22"/>
      <c r="BW64" s="19"/>
      <c r="BX64" s="19"/>
      <c r="BY64" s="19"/>
      <c r="BZ64" s="22"/>
      <c r="CA64" s="19"/>
      <c r="CB64" s="20"/>
      <c r="CC64" s="20">
        <v>38</v>
      </c>
      <c r="CD64" s="22"/>
      <c r="CE64" s="22"/>
      <c r="CG64" s="22">
        <f t="shared" si="138"/>
        <v>384.29752066115702</v>
      </c>
      <c r="CH64" s="22">
        <f t="shared" si="139"/>
        <v>311.81102362204723</v>
      </c>
      <c r="CI64" s="22"/>
      <c r="CJ64" s="22"/>
      <c r="CK64" s="22"/>
      <c r="CL64" s="22"/>
      <c r="CM64" s="22"/>
      <c r="CN64" s="22"/>
      <c r="CO64" s="22"/>
      <c r="CP64" s="22"/>
      <c r="CQ64" s="22"/>
      <c r="CR64" s="22"/>
      <c r="CS64" s="22"/>
      <c r="CT64" s="22"/>
      <c r="CU64" s="22">
        <f t="shared" si="140"/>
        <v>46.533333333333331</v>
      </c>
      <c r="CV64" s="22">
        <f t="shared" si="141"/>
        <v>7.5053763440860219</v>
      </c>
      <c r="CW64" s="22">
        <f t="shared" si="142"/>
        <v>6.2</v>
      </c>
      <c r="CX64" s="20">
        <f t="shared" si="143"/>
        <v>311.74</v>
      </c>
      <c r="CY64" s="22"/>
      <c r="CZ64" s="22"/>
      <c r="DA64" s="22"/>
      <c r="DB64" s="22">
        <f t="shared" si="144"/>
        <v>22.333333333333332</v>
      </c>
      <c r="DC64" s="22">
        <f t="shared" si="145"/>
        <v>18.368421052631579</v>
      </c>
      <c r="DD64" s="22"/>
      <c r="DE64" s="22"/>
      <c r="DF64" s="22"/>
      <c r="DG64" s="19">
        <f t="shared" si="146"/>
        <v>0.36585365853658536</v>
      </c>
      <c r="DH64" s="20">
        <f t="shared" si="147"/>
        <v>741.8238709677421</v>
      </c>
      <c r="DI64" s="19"/>
      <c r="DJ64" s="22"/>
      <c r="DK64" s="22"/>
      <c r="DL64" s="22"/>
      <c r="DM64" s="22"/>
      <c r="DN64" s="76"/>
      <c r="DO64" s="22"/>
      <c r="DP64" s="20"/>
      <c r="DQ64" s="22"/>
      <c r="DR64" s="22"/>
      <c r="DS64" s="19"/>
      <c r="DT64" s="23">
        <f t="shared" si="148"/>
        <v>5.6053811659192824E-4</v>
      </c>
      <c r="DU64" s="22">
        <f t="shared" si="149"/>
        <v>8.1707317073170724</v>
      </c>
      <c r="DV64" s="22"/>
      <c r="DW64" s="22">
        <f t="shared" si="150"/>
        <v>-0.44823362227290509</v>
      </c>
      <c r="DX64" s="22">
        <f t="shared" si="151"/>
        <v>4.4776119402985071</v>
      </c>
      <c r="DY64" s="22">
        <f t="shared" si="152"/>
        <v>11.343283582089553</v>
      </c>
      <c r="DZ64" s="19">
        <f t="shared" si="153"/>
        <v>0.88270163953137981</v>
      </c>
      <c r="EA64" s="23"/>
      <c r="EB64" s="19">
        <f t="shared" si="154"/>
        <v>2.5333333333333332</v>
      </c>
      <c r="EC64" s="19"/>
      <c r="ED64" s="19"/>
      <c r="EE64" s="19">
        <f t="shared" si="155"/>
        <v>41.744698846130611</v>
      </c>
      <c r="EF64" s="19">
        <f t="shared" si="156"/>
        <v>0.78535612879840511</v>
      </c>
      <c r="EG64" s="19">
        <f t="shared" si="157"/>
        <v>11.69979258543265</v>
      </c>
      <c r="EH64" s="19">
        <f t="shared" si="158"/>
        <v>7.1970841136551291</v>
      </c>
      <c r="EI64" s="19">
        <f t="shared" si="159"/>
        <v>0.11075535149721098</v>
      </c>
      <c r="EJ64" s="19">
        <f t="shared" si="160"/>
        <v>12.787208763768904</v>
      </c>
      <c r="EK64" s="19">
        <f t="shared" si="161"/>
        <v>15.747397249239816</v>
      </c>
      <c r="EL64" s="19">
        <f t="shared" si="162"/>
        <v>1.1377595199258945</v>
      </c>
      <c r="EM64" s="19">
        <f t="shared" si="163"/>
        <v>8.3670633721983929</v>
      </c>
      <c r="EN64" s="19">
        <f t="shared" si="164"/>
        <v>0.42288406935298739</v>
      </c>
      <c r="EO64" s="19">
        <f t="shared" si="165"/>
        <v>99.999999999999986</v>
      </c>
    </row>
    <row r="65" spans="1:145" s="36" customFormat="1">
      <c r="A65" s="36" t="s">
        <v>170</v>
      </c>
      <c r="B65" s="36">
        <v>5</v>
      </c>
      <c r="C65" s="36" t="s">
        <v>163</v>
      </c>
      <c r="D65" s="36" t="s">
        <v>209</v>
      </c>
      <c r="E65" s="36" t="s">
        <v>63</v>
      </c>
      <c r="G65" s="19">
        <v>50.9</v>
      </c>
      <c r="H65" s="19">
        <v>0.96</v>
      </c>
      <c r="I65" s="19">
        <v>11.7</v>
      </c>
      <c r="J65" s="19">
        <v>10.0502</v>
      </c>
      <c r="K65" s="19">
        <v>0.16</v>
      </c>
      <c r="L65" s="19">
        <v>11</v>
      </c>
      <c r="M65" s="19">
        <v>2.5</v>
      </c>
      <c r="N65" s="19">
        <v>0.34</v>
      </c>
      <c r="O65" s="19">
        <v>6.51</v>
      </c>
      <c r="P65" s="19">
        <v>0.45</v>
      </c>
      <c r="Q65" s="19">
        <v>5.23</v>
      </c>
      <c r="R65" s="19"/>
      <c r="S65" s="19">
        <f t="shared" si="121"/>
        <v>99.800200000000018</v>
      </c>
      <c r="U65" s="75"/>
      <c r="V65" s="75"/>
      <c r="W65" s="19"/>
      <c r="X65" s="19"/>
      <c r="Y65" s="19"/>
      <c r="Z65" s="19"/>
      <c r="AA65" s="19"/>
      <c r="AB65" s="22"/>
      <c r="AC65" s="22"/>
      <c r="AF65" s="19">
        <f t="shared" si="122"/>
        <v>0.71836896040807618</v>
      </c>
      <c r="AG65" s="20">
        <f t="shared" si="123"/>
        <v>5755.2</v>
      </c>
      <c r="AH65" s="20">
        <f t="shared" si="124"/>
        <v>54046.02</v>
      </c>
      <c r="AI65" s="20">
        <f t="shared" si="125"/>
        <v>1963.8</v>
      </c>
      <c r="AJ65" s="19">
        <f t="shared" si="126"/>
        <v>6.85</v>
      </c>
      <c r="AK65" s="19">
        <f t="shared" si="127"/>
        <v>19.147058823529409</v>
      </c>
      <c r="AL65" s="19">
        <f t="shared" si="128"/>
        <v>5.22273425499232E-2</v>
      </c>
      <c r="AM65" s="19">
        <f t="shared" si="129"/>
        <v>0.21367521367521367</v>
      </c>
      <c r="AN65" s="19">
        <f t="shared" si="130"/>
        <v>0.55641025641025643</v>
      </c>
      <c r="AO65" s="19">
        <f t="shared" si="131"/>
        <v>0.65005095411406877</v>
      </c>
      <c r="AP65" s="19">
        <f t="shared" si="132"/>
        <v>1.5383409464614421</v>
      </c>
      <c r="AQ65" s="19">
        <f t="shared" si="133"/>
        <v>0.96289254084562148</v>
      </c>
      <c r="AR65" s="20">
        <f t="shared" si="134"/>
        <v>1556.4806261822789</v>
      </c>
      <c r="AS65" s="20">
        <f t="shared" si="135"/>
        <v>1102.7601805405543</v>
      </c>
      <c r="AT65" s="19"/>
      <c r="AU65" s="19">
        <f t="shared" si="136"/>
        <v>0.12789783889980352</v>
      </c>
      <c r="AV65" s="19">
        <f t="shared" si="137"/>
        <v>0.6022461756219718</v>
      </c>
      <c r="AW65" s="19"/>
      <c r="AX65" s="20">
        <v>719</v>
      </c>
      <c r="AY65" s="20">
        <v>376</v>
      </c>
      <c r="AZ65" s="20">
        <v>845</v>
      </c>
      <c r="BA65" s="22"/>
      <c r="BB65" s="22"/>
      <c r="BC65" s="22">
        <v>188</v>
      </c>
      <c r="BD65" s="22">
        <v>781</v>
      </c>
      <c r="BE65" s="22"/>
      <c r="BF65" s="22">
        <v>146</v>
      </c>
      <c r="BG65" s="22">
        <v>36</v>
      </c>
      <c r="BH65" s="22">
        <v>127</v>
      </c>
      <c r="BI65" s="36">
        <v>60</v>
      </c>
      <c r="BJ65" s="20">
        <v>424</v>
      </c>
      <c r="BK65" s="20">
        <v>19</v>
      </c>
      <c r="BL65" s="22"/>
      <c r="BM65" s="22"/>
      <c r="BN65" s="20">
        <v>123</v>
      </c>
      <c r="BO65" s="20">
        <v>212</v>
      </c>
      <c r="BP65" s="20"/>
      <c r="BQ65" s="22"/>
      <c r="BR65" s="22"/>
      <c r="BS65" s="22"/>
      <c r="BT65" s="22"/>
      <c r="BU65" s="22"/>
      <c r="BV65" s="22"/>
      <c r="BW65" s="19"/>
      <c r="BX65" s="19"/>
      <c r="BY65" s="19"/>
      <c r="BZ65" s="22"/>
      <c r="CA65" s="19"/>
      <c r="CB65" s="20">
        <v>23</v>
      </c>
      <c r="CC65" s="20">
        <v>44</v>
      </c>
      <c r="CD65" s="22"/>
      <c r="CE65" s="22">
        <v>15</v>
      </c>
      <c r="CG65" s="22">
        <f t="shared" si="138"/>
        <v>508.26446280991735</v>
      </c>
      <c r="CH65" s="22">
        <f t="shared" si="139"/>
        <v>333.85826771653541</v>
      </c>
      <c r="CI65" s="22"/>
      <c r="CJ65" s="22"/>
      <c r="CK65" s="22"/>
      <c r="CL65" s="22"/>
      <c r="CM65" s="22"/>
      <c r="CN65" s="22"/>
      <c r="CO65" s="22"/>
      <c r="CP65" s="22"/>
      <c r="CQ65" s="22"/>
      <c r="CR65" s="22"/>
      <c r="CS65" s="22"/>
      <c r="CT65" s="22"/>
      <c r="CU65" s="22">
        <f t="shared" si="140"/>
        <v>44.473684210526315</v>
      </c>
      <c r="CV65" s="22">
        <f t="shared" si="141"/>
        <v>6.8699186991869921</v>
      </c>
      <c r="CW65" s="22">
        <f t="shared" si="142"/>
        <v>6.4736842105263159</v>
      </c>
      <c r="CX65" s="20">
        <f t="shared" si="143"/>
        <v>302.90526315789475</v>
      </c>
      <c r="CY65" s="22">
        <f t="shared" ref="CY65:CY70" si="166">BO65/CB65</f>
        <v>9.2173913043478262</v>
      </c>
      <c r="CZ65" s="22"/>
      <c r="DA65" s="22"/>
      <c r="DB65" s="22">
        <f t="shared" si="144"/>
        <v>22.315789473684209</v>
      </c>
      <c r="DC65" s="22">
        <f t="shared" si="145"/>
        <v>19.204545454545453</v>
      </c>
      <c r="DD65" s="22"/>
      <c r="DE65" s="22"/>
      <c r="DF65" s="22"/>
      <c r="DG65" s="19">
        <f t="shared" si="146"/>
        <v>0.31666666666666665</v>
      </c>
      <c r="DH65" s="20">
        <f t="shared" si="147"/>
        <v>439.39853658536583</v>
      </c>
      <c r="DI65" s="19"/>
      <c r="DJ65" s="22"/>
      <c r="DK65" s="22"/>
      <c r="DL65" s="22"/>
      <c r="DM65" s="22"/>
      <c r="DN65" s="76"/>
      <c r="DO65" s="22"/>
      <c r="DP65" s="20"/>
      <c r="DQ65" s="22"/>
      <c r="DR65" s="22"/>
      <c r="DS65" s="19"/>
      <c r="DT65" s="23">
        <f t="shared" si="148"/>
        <v>2.6595744680851063E-3</v>
      </c>
      <c r="DU65" s="22">
        <f t="shared" si="149"/>
        <v>7.0666666666666664</v>
      </c>
      <c r="DV65" s="22"/>
      <c r="DW65" s="22">
        <f t="shared" si="150"/>
        <v>-0.38988969335226553</v>
      </c>
      <c r="DX65" s="22">
        <f t="shared" si="151"/>
        <v>4.4811320754716979</v>
      </c>
      <c r="DY65" s="22">
        <f t="shared" si="152"/>
        <v>10.377358490566039</v>
      </c>
      <c r="DZ65" s="19">
        <f t="shared" si="153"/>
        <v>0.70306884940634207</v>
      </c>
      <c r="EA65" s="23"/>
      <c r="EB65" s="19">
        <f t="shared" si="154"/>
        <v>2.3157894736842106</v>
      </c>
      <c r="EC65" s="19"/>
      <c r="ED65" s="19"/>
      <c r="EE65" s="19">
        <f t="shared" si="155"/>
        <v>53.822451469913347</v>
      </c>
      <c r="EF65" s="19">
        <f t="shared" si="156"/>
        <v>1.0151189275268528</v>
      </c>
      <c r="EG65" s="19">
        <f t="shared" si="157"/>
        <v>12.37176192923352</v>
      </c>
      <c r="EH65" s="19">
        <f t="shared" si="158"/>
        <v>10.627237755656642</v>
      </c>
      <c r="EI65" s="19">
        <f t="shared" si="159"/>
        <v>0.16918648792114216</v>
      </c>
      <c r="EJ65" s="19">
        <f t="shared" si="160"/>
        <v>11.631571044578523</v>
      </c>
      <c r="EK65" s="19">
        <f t="shared" si="161"/>
        <v>2.643538873767846</v>
      </c>
      <c r="EL65" s="19">
        <f t="shared" si="162"/>
        <v>0.35952128683242707</v>
      </c>
      <c r="EM65" s="19">
        <f t="shared" si="163"/>
        <v>6.883775227291471</v>
      </c>
      <c r="EN65" s="19">
        <f t="shared" si="164"/>
        <v>0.47583699727821233</v>
      </c>
      <c r="EO65" s="19">
        <f t="shared" si="165"/>
        <v>99.999999999999972</v>
      </c>
    </row>
    <row r="66" spans="1:145" s="36" customFormat="1">
      <c r="A66" s="36" t="s">
        <v>170</v>
      </c>
      <c r="B66" s="36">
        <v>5</v>
      </c>
      <c r="C66" s="36" t="s">
        <v>163</v>
      </c>
      <c r="D66" s="36" t="s">
        <v>209</v>
      </c>
      <c r="E66" s="36" t="s">
        <v>63</v>
      </c>
      <c r="G66" s="19">
        <v>46.3</v>
      </c>
      <c r="H66" s="19">
        <v>0.92</v>
      </c>
      <c r="I66" s="19">
        <v>10.9</v>
      </c>
      <c r="J66" s="19">
        <v>8.2932000000000006</v>
      </c>
      <c r="K66" s="19">
        <v>0.12</v>
      </c>
      <c r="L66" s="19">
        <v>14.7</v>
      </c>
      <c r="M66" s="19">
        <v>4.7</v>
      </c>
      <c r="N66" s="19">
        <v>0.24</v>
      </c>
      <c r="O66" s="19">
        <v>6.25</v>
      </c>
      <c r="P66" s="19">
        <v>0.41</v>
      </c>
      <c r="Q66" s="19">
        <v>5.7</v>
      </c>
      <c r="R66" s="19">
        <v>1.38</v>
      </c>
      <c r="S66" s="19">
        <f t="shared" ref="S66:S75" si="167">SUM(G66:R66)</f>
        <v>99.913200000000003</v>
      </c>
      <c r="U66" s="75"/>
      <c r="V66" s="75"/>
      <c r="W66" s="19"/>
      <c r="X66" s="19"/>
      <c r="Y66" s="19"/>
      <c r="Z66" s="19"/>
      <c r="AA66" s="19"/>
      <c r="AB66" s="22"/>
      <c r="AC66" s="22"/>
      <c r="AF66" s="19">
        <f t="shared" si="122"/>
        <v>0.80510226466026735</v>
      </c>
      <c r="AG66" s="20">
        <f t="shared" si="123"/>
        <v>5515.4000000000005</v>
      </c>
      <c r="AH66" s="20">
        <f t="shared" si="124"/>
        <v>51887.5</v>
      </c>
      <c r="AI66" s="20">
        <f t="shared" si="125"/>
        <v>1789.2399999999998</v>
      </c>
      <c r="AJ66" s="19">
        <f t="shared" si="126"/>
        <v>6.49</v>
      </c>
      <c r="AK66" s="19">
        <f t="shared" si="127"/>
        <v>26.041666666666668</v>
      </c>
      <c r="AL66" s="19">
        <f t="shared" si="128"/>
        <v>3.8399999999999997E-2</v>
      </c>
      <c r="AM66" s="19">
        <f t="shared" si="129"/>
        <v>0.43119266055045874</v>
      </c>
      <c r="AN66" s="19">
        <f t="shared" si="130"/>
        <v>0.57339449541284404</v>
      </c>
      <c r="AO66" s="19">
        <f t="shared" si="131"/>
        <v>0.65685075460390496</v>
      </c>
      <c r="AP66" s="19">
        <f t="shared" si="132"/>
        <v>1.5224158501622205</v>
      </c>
      <c r="AQ66" s="19">
        <f t="shared" si="133"/>
        <v>0.69405430371452337</v>
      </c>
      <c r="AR66" s="20">
        <f t="shared" si="134"/>
        <v>1407.8342725276736</v>
      </c>
      <c r="AS66" s="20">
        <f t="shared" si="135"/>
        <v>1557.8380795040184</v>
      </c>
      <c r="AT66" s="19"/>
      <c r="AU66" s="19">
        <f t="shared" si="136"/>
        <v>0.1349892008639309</v>
      </c>
      <c r="AV66" s="19">
        <f t="shared" si="137"/>
        <v>0.62062954089483624</v>
      </c>
      <c r="AW66" s="19"/>
      <c r="AX66" s="20">
        <v>532</v>
      </c>
      <c r="AY66" s="20">
        <v>397</v>
      </c>
      <c r="AZ66" s="20">
        <v>598</v>
      </c>
      <c r="BA66" s="22"/>
      <c r="BB66" s="22"/>
      <c r="BC66" s="22">
        <v>174</v>
      </c>
      <c r="BD66" s="22">
        <v>923</v>
      </c>
      <c r="BE66" s="22">
        <v>39</v>
      </c>
      <c r="BF66" s="22">
        <v>158</v>
      </c>
      <c r="BG66" s="22">
        <v>36</v>
      </c>
      <c r="BH66" s="22">
        <v>99</v>
      </c>
      <c r="BI66" s="36">
        <v>42</v>
      </c>
      <c r="BJ66" s="20">
        <v>386</v>
      </c>
      <c r="BK66" s="20">
        <v>18</v>
      </c>
      <c r="BL66" s="22"/>
      <c r="BM66" s="22"/>
      <c r="BN66" s="20">
        <v>94</v>
      </c>
      <c r="BO66" s="20">
        <v>187</v>
      </c>
      <c r="BP66" s="20"/>
      <c r="BQ66" s="22"/>
      <c r="BR66" s="22"/>
      <c r="BS66" s="22"/>
      <c r="BT66" s="22"/>
      <c r="BU66" s="22"/>
      <c r="BV66" s="22"/>
      <c r="BW66" s="19"/>
      <c r="BX66" s="19"/>
      <c r="BY66" s="19"/>
      <c r="BZ66" s="22"/>
      <c r="CA66" s="19"/>
      <c r="CB66" s="20">
        <v>24</v>
      </c>
      <c r="CC66" s="20">
        <v>39</v>
      </c>
      <c r="CD66" s="22"/>
      <c r="CE66" s="22">
        <v>16</v>
      </c>
      <c r="CG66" s="22">
        <f t="shared" si="138"/>
        <v>388.42975206611573</v>
      </c>
      <c r="CH66" s="22">
        <f t="shared" si="139"/>
        <v>294.48818897637796</v>
      </c>
      <c r="CI66" s="22"/>
      <c r="CJ66" s="22"/>
      <c r="CK66" s="22"/>
      <c r="CL66" s="22"/>
      <c r="CM66" s="22"/>
      <c r="CN66" s="22"/>
      <c r="CO66" s="22"/>
      <c r="CP66" s="22"/>
      <c r="CQ66" s="22"/>
      <c r="CR66" s="22"/>
      <c r="CS66" s="22"/>
      <c r="CT66" s="22"/>
      <c r="CU66" s="22">
        <f t="shared" si="140"/>
        <v>33.222222222222221</v>
      </c>
      <c r="CV66" s="22">
        <f t="shared" si="141"/>
        <v>6.3617021276595747</v>
      </c>
      <c r="CW66" s="22">
        <f t="shared" si="142"/>
        <v>5.2222222222222223</v>
      </c>
      <c r="CX66" s="20">
        <f t="shared" si="143"/>
        <v>306.41111111111115</v>
      </c>
      <c r="CY66" s="22">
        <f t="shared" si="166"/>
        <v>7.791666666666667</v>
      </c>
      <c r="CZ66" s="22"/>
      <c r="DA66" s="22"/>
      <c r="DB66" s="22">
        <f t="shared" si="144"/>
        <v>21.444444444444443</v>
      </c>
      <c r="DC66" s="22">
        <f t="shared" si="145"/>
        <v>15.333333333333334</v>
      </c>
      <c r="DD66" s="22"/>
      <c r="DE66" s="22"/>
      <c r="DF66" s="22"/>
      <c r="DG66" s="19">
        <f t="shared" si="146"/>
        <v>0.42857142857142855</v>
      </c>
      <c r="DH66" s="20">
        <f t="shared" si="147"/>
        <v>551.99468085106378</v>
      </c>
      <c r="DI66" s="19"/>
      <c r="DJ66" s="22"/>
      <c r="DK66" s="22"/>
      <c r="DL66" s="22"/>
      <c r="DM66" s="22"/>
      <c r="DN66" s="76"/>
      <c r="DO66" s="22"/>
      <c r="DP66" s="20"/>
      <c r="DQ66" s="22"/>
      <c r="DR66" s="22"/>
      <c r="DS66" s="19"/>
      <c r="DT66" s="23">
        <f t="shared" si="148"/>
        <v>2.5188916876574307E-3</v>
      </c>
      <c r="DU66" s="22">
        <f t="shared" si="149"/>
        <v>9.1904761904761898</v>
      </c>
      <c r="DV66" s="22"/>
      <c r="DW66" s="22">
        <f t="shared" si="150"/>
        <v>-0.47758577270039515</v>
      </c>
      <c r="DX66" s="22">
        <f t="shared" si="151"/>
        <v>4.6632124352331603</v>
      </c>
      <c r="DY66" s="22">
        <f t="shared" si="152"/>
        <v>10.103626943005182</v>
      </c>
      <c r="DZ66" s="19">
        <f t="shared" si="153"/>
        <v>1.2752755406460108</v>
      </c>
      <c r="EA66" s="23"/>
      <c r="EB66" s="19">
        <f t="shared" si="154"/>
        <v>2.1666666666666665</v>
      </c>
      <c r="EC66" s="19"/>
      <c r="ED66" s="19"/>
      <c r="EE66" s="19">
        <f t="shared" si="155"/>
        <v>49.874398383336995</v>
      </c>
      <c r="EF66" s="19">
        <f t="shared" si="156"/>
        <v>0.99102476269265727</v>
      </c>
      <c r="EG66" s="19">
        <f t="shared" si="157"/>
        <v>11.741489036249961</v>
      </c>
      <c r="EH66" s="19">
        <f t="shared" si="158"/>
        <v>8.933441915176898</v>
      </c>
      <c r="EI66" s="19">
        <f t="shared" si="159"/>
        <v>0.12926409948165096</v>
      </c>
      <c r="EJ66" s="19">
        <f t="shared" si="160"/>
        <v>15.834852186502243</v>
      </c>
      <c r="EK66" s="19">
        <f t="shared" si="161"/>
        <v>5.0628438963646625</v>
      </c>
      <c r="EL66" s="19">
        <f t="shared" si="162"/>
        <v>0.25852819896330193</v>
      </c>
      <c r="EM66" s="19">
        <f t="shared" si="163"/>
        <v>6.7325051813359869</v>
      </c>
      <c r="EN66" s="19">
        <f t="shared" si="164"/>
        <v>0.44165233989564073</v>
      </c>
      <c r="EO66" s="19">
        <f t="shared" si="165"/>
        <v>100</v>
      </c>
    </row>
    <row r="67" spans="1:145" s="36" customFormat="1">
      <c r="A67" s="36" t="s">
        <v>170</v>
      </c>
      <c r="B67" s="36">
        <v>5</v>
      </c>
      <c r="C67" s="36" t="s">
        <v>163</v>
      </c>
      <c r="D67" s="36" t="s">
        <v>209</v>
      </c>
      <c r="E67" s="36" t="s">
        <v>63</v>
      </c>
      <c r="G67" s="19">
        <v>43.5</v>
      </c>
      <c r="H67" s="19">
        <v>0.84</v>
      </c>
      <c r="I67" s="19">
        <v>9.6999999999999993</v>
      </c>
      <c r="J67" s="19">
        <v>7.7914000000000003</v>
      </c>
      <c r="K67" s="19">
        <v>0.12</v>
      </c>
      <c r="L67" s="19">
        <v>15.4</v>
      </c>
      <c r="M67" s="19">
        <v>7.5</v>
      </c>
      <c r="N67" s="19">
        <v>0.14000000000000001</v>
      </c>
      <c r="O67" s="19">
        <v>4.7300000000000004</v>
      </c>
      <c r="P67" s="19">
        <v>0.4</v>
      </c>
      <c r="Q67" s="19">
        <v>6.27</v>
      </c>
      <c r="R67" s="19">
        <v>3.44</v>
      </c>
      <c r="S67" s="19">
        <f t="shared" si="167"/>
        <v>99.831400000000016</v>
      </c>
      <c r="U67" s="75"/>
      <c r="V67" s="75"/>
      <c r="W67" s="19"/>
      <c r="X67" s="19"/>
      <c r="Y67" s="19"/>
      <c r="Z67" s="19"/>
      <c r="AA67" s="19"/>
      <c r="AB67" s="22"/>
      <c r="AC67" s="22"/>
      <c r="AF67" s="19">
        <f t="shared" si="122"/>
        <v>0.82162993376778271</v>
      </c>
      <c r="AG67" s="20">
        <f t="shared" si="123"/>
        <v>5035.8</v>
      </c>
      <c r="AH67" s="20">
        <f t="shared" si="124"/>
        <v>39268.460000000006</v>
      </c>
      <c r="AI67" s="20">
        <f t="shared" si="125"/>
        <v>1745.6000000000001</v>
      </c>
      <c r="AJ67" s="19">
        <f t="shared" si="126"/>
        <v>4.87</v>
      </c>
      <c r="AK67" s="19">
        <f t="shared" si="127"/>
        <v>33.785714285714285</v>
      </c>
      <c r="AL67" s="19">
        <f t="shared" si="128"/>
        <v>2.9598308668076109E-2</v>
      </c>
      <c r="AM67" s="19">
        <f t="shared" si="129"/>
        <v>0.77319587628865982</v>
      </c>
      <c r="AN67" s="19">
        <f t="shared" si="130"/>
        <v>0.48762886597938154</v>
      </c>
      <c r="AO67" s="19">
        <f t="shared" si="131"/>
        <v>0.55154166070995603</v>
      </c>
      <c r="AP67" s="19">
        <f t="shared" si="132"/>
        <v>1.8130996645163286</v>
      </c>
      <c r="AQ67" s="19">
        <f t="shared" si="133"/>
        <v>0.51090730670892248</v>
      </c>
      <c r="AR67" s="20">
        <f t="shared" si="134"/>
        <v>1692.8019432321182</v>
      </c>
      <c r="AS67" s="20">
        <f t="shared" si="135"/>
        <v>1949.5522611215677</v>
      </c>
      <c r="AT67" s="19"/>
      <c r="AU67" s="19">
        <f t="shared" si="136"/>
        <v>0.10873563218390805</v>
      </c>
      <c r="AV67" s="19">
        <f t="shared" si="137"/>
        <v>0.52779871735942396</v>
      </c>
      <c r="AW67" s="19"/>
      <c r="AX67" s="20">
        <v>451</v>
      </c>
      <c r="AY67" s="20">
        <v>388</v>
      </c>
      <c r="AZ67" s="20">
        <v>531</v>
      </c>
      <c r="BA67" s="22"/>
      <c r="BB67" s="22"/>
      <c r="BC67" s="22">
        <v>164</v>
      </c>
      <c r="BD67" s="22">
        <v>782</v>
      </c>
      <c r="BE67" s="22">
        <v>36</v>
      </c>
      <c r="BF67" s="22">
        <v>156</v>
      </c>
      <c r="BG67" s="22">
        <v>33</v>
      </c>
      <c r="BH67" s="22">
        <v>101</v>
      </c>
      <c r="BI67" s="36">
        <v>42</v>
      </c>
      <c r="BJ67" s="20">
        <v>379</v>
      </c>
      <c r="BK67" s="20">
        <v>16</v>
      </c>
      <c r="BL67" s="22"/>
      <c r="BM67" s="22"/>
      <c r="BN67" s="20">
        <v>90</v>
      </c>
      <c r="BO67" s="20">
        <v>171</v>
      </c>
      <c r="BP67" s="20"/>
      <c r="BQ67" s="22"/>
      <c r="BR67" s="22"/>
      <c r="BS67" s="22"/>
      <c r="BT67" s="22"/>
      <c r="BU67" s="22"/>
      <c r="BV67" s="22"/>
      <c r="BW67" s="19"/>
      <c r="BX67" s="19"/>
      <c r="BY67" s="19"/>
      <c r="BZ67" s="22"/>
      <c r="CA67" s="19"/>
      <c r="CB67" s="20">
        <v>27</v>
      </c>
      <c r="CC67" s="20">
        <v>41</v>
      </c>
      <c r="CD67" s="22"/>
      <c r="CE67" s="22">
        <v>12</v>
      </c>
      <c r="CG67" s="22">
        <f t="shared" si="138"/>
        <v>371.90082644628103</v>
      </c>
      <c r="CH67" s="22">
        <f t="shared" si="139"/>
        <v>269.29133858267716</v>
      </c>
      <c r="CI67" s="22"/>
      <c r="CJ67" s="22"/>
      <c r="CK67" s="22"/>
      <c r="CL67" s="22"/>
      <c r="CM67" s="22"/>
      <c r="CN67" s="22"/>
      <c r="CO67" s="22"/>
      <c r="CP67" s="22"/>
      <c r="CQ67" s="22"/>
      <c r="CR67" s="22"/>
      <c r="CS67" s="22"/>
      <c r="CT67" s="22"/>
      <c r="CU67" s="22">
        <f t="shared" si="140"/>
        <v>33.1875</v>
      </c>
      <c r="CV67" s="22">
        <f t="shared" si="141"/>
        <v>5.9</v>
      </c>
      <c r="CW67" s="22">
        <f t="shared" si="142"/>
        <v>5.625</v>
      </c>
      <c r="CX67" s="20">
        <f t="shared" si="143"/>
        <v>314.73750000000001</v>
      </c>
      <c r="CY67" s="22">
        <f t="shared" si="166"/>
        <v>6.333333333333333</v>
      </c>
      <c r="CZ67" s="22"/>
      <c r="DA67" s="22"/>
      <c r="DB67" s="22">
        <f t="shared" si="144"/>
        <v>23.6875</v>
      </c>
      <c r="DC67" s="22">
        <f t="shared" si="145"/>
        <v>12.951219512195122</v>
      </c>
      <c r="DD67" s="22"/>
      <c r="DE67" s="22"/>
      <c r="DF67" s="22"/>
      <c r="DG67" s="19">
        <f t="shared" si="146"/>
        <v>0.38095238095238093</v>
      </c>
      <c r="DH67" s="20">
        <f t="shared" si="147"/>
        <v>436.31622222222228</v>
      </c>
      <c r="DI67" s="19"/>
      <c r="DJ67" s="22"/>
      <c r="DK67" s="22"/>
      <c r="DL67" s="22"/>
      <c r="DM67" s="22"/>
      <c r="DN67" s="76"/>
      <c r="DO67" s="22"/>
      <c r="DP67" s="20"/>
      <c r="DQ67" s="22"/>
      <c r="DR67" s="22"/>
      <c r="DS67" s="19"/>
      <c r="DT67" s="23">
        <f t="shared" si="148"/>
        <v>2.5773195876288659E-3</v>
      </c>
      <c r="DU67" s="22">
        <f t="shared" si="149"/>
        <v>9.0238095238095237</v>
      </c>
      <c r="DV67" s="22"/>
      <c r="DW67" s="22">
        <f t="shared" si="150"/>
        <v>-0.51347795331670554</v>
      </c>
      <c r="DX67" s="22">
        <f t="shared" si="151"/>
        <v>4.2216358839050132</v>
      </c>
      <c r="DY67" s="22">
        <f t="shared" si="152"/>
        <v>10.817941952506596</v>
      </c>
      <c r="DZ67" s="19">
        <f t="shared" si="153"/>
        <v>2.1448731274943009</v>
      </c>
      <c r="EA67" s="23"/>
      <c r="EB67" s="19">
        <f t="shared" si="154"/>
        <v>2.5625</v>
      </c>
      <c r="EC67" s="19"/>
      <c r="ED67" s="19"/>
      <c r="EE67" s="19">
        <f t="shared" si="155"/>
        <v>48.268224861131749</v>
      </c>
      <c r="EF67" s="19">
        <f t="shared" si="156"/>
        <v>0.93207606628392348</v>
      </c>
      <c r="EG67" s="19">
        <f t="shared" si="157"/>
        <v>10.763259336850068</v>
      </c>
      <c r="EH67" s="19">
        <f t="shared" si="158"/>
        <v>8.6454493605292395</v>
      </c>
      <c r="EI67" s="19">
        <f t="shared" si="159"/>
        <v>0.13315372375484621</v>
      </c>
      <c r="EJ67" s="19">
        <f t="shared" si="160"/>
        <v>17.088061215205265</v>
      </c>
      <c r="EK67" s="19">
        <f t="shared" si="161"/>
        <v>8.3221077346778873</v>
      </c>
      <c r="EL67" s="19">
        <f t="shared" si="162"/>
        <v>0.1553460110473206</v>
      </c>
      <c r="EM67" s="19">
        <f t="shared" si="163"/>
        <v>5.2484759446701883</v>
      </c>
      <c r="EN67" s="19">
        <f t="shared" si="164"/>
        <v>0.44384574584948738</v>
      </c>
      <c r="EO67" s="19">
        <f t="shared" si="165"/>
        <v>99.999999999999957</v>
      </c>
    </row>
    <row r="68" spans="1:145" s="36" customFormat="1">
      <c r="A68" s="36" t="s">
        <v>170</v>
      </c>
      <c r="B68" s="36">
        <v>5</v>
      </c>
      <c r="C68" s="36" t="s">
        <v>163</v>
      </c>
      <c r="D68" s="36" t="s">
        <v>209</v>
      </c>
      <c r="E68" s="36" t="s">
        <v>63</v>
      </c>
      <c r="G68" s="19">
        <v>46.7</v>
      </c>
      <c r="H68" s="19">
        <v>0.86</v>
      </c>
      <c r="I68" s="19">
        <v>11.5</v>
      </c>
      <c r="J68" s="19">
        <v>7.9016999999999999</v>
      </c>
      <c r="K68" s="19">
        <v>0.14000000000000001</v>
      </c>
      <c r="L68" s="19">
        <v>13.5</v>
      </c>
      <c r="M68" s="19">
        <v>5.0999999999999996</v>
      </c>
      <c r="N68" s="19">
        <v>0.2</v>
      </c>
      <c r="O68" s="19">
        <v>6.38</v>
      </c>
      <c r="P68" s="19">
        <v>0.37</v>
      </c>
      <c r="Q68" s="19">
        <v>6.01</v>
      </c>
      <c r="R68" s="19">
        <v>1.29</v>
      </c>
      <c r="S68" s="19">
        <f t="shared" si="167"/>
        <v>99.951700000000017</v>
      </c>
      <c r="U68" s="75"/>
      <c r="V68" s="75"/>
      <c r="W68" s="19"/>
      <c r="X68" s="19"/>
      <c r="Y68" s="19"/>
      <c r="Z68" s="19"/>
      <c r="AA68" s="19"/>
      <c r="AB68" s="22"/>
      <c r="AC68" s="22"/>
      <c r="AF68" s="19">
        <f t="shared" si="122"/>
        <v>0.79926300436880282</v>
      </c>
      <c r="AG68" s="20">
        <f t="shared" si="123"/>
        <v>5155.7</v>
      </c>
      <c r="AH68" s="20">
        <f t="shared" si="124"/>
        <v>52966.76</v>
      </c>
      <c r="AI68" s="20">
        <f t="shared" si="125"/>
        <v>1614.68</v>
      </c>
      <c r="AJ68" s="19">
        <f t="shared" si="126"/>
        <v>6.58</v>
      </c>
      <c r="AK68" s="19">
        <f t="shared" si="127"/>
        <v>31.9</v>
      </c>
      <c r="AL68" s="19">
        <f t="shared" si="128"/>
        <v>3.1347962382445145E-2</v>
      </c>
      <c r="AM68" s="19">
        <f t="shared" si="129"/>
        <v>0.44347826086956521</v>
      </c>
      <c r="AN68" s="19">
        <f t="shared" si="130"/>
        <v>0.55478260869565221</v>
      </c>
      <c r="AO68" s="19">
        <f t="shared" si="131"/>
        <v>0.62909395505415344</v>
      </c>
      <c r="AP68" s="19">
        <f t="shared" si="132"/>
        <v>1.5895876791788888</v>
      </c>
      <c r="AQ68" s="19">
        <f t="shared" si="133"/>
        <v>0.69667510644668762</v>
      </c>
      <c r="AR68" s="20">
        <f t="shared" si="134"/>
        <v>1434.0966222387772</v>
      </c>
      <c r="AS68" s="20">
        <f t="shared" si="135"/>
        <v>1555.5061776036487</v>
      </c>
      <c r="AT68" s="19"/>
      <c r="AU68" s="19">
        <f t="shared" si="136"/>
        <v>0.13661670235546036</v>
      </c>
      <c r="AV68" s="19">
        <f t="shared" si="137"/>
        <v>0.6004844456752515</v>
      </c>
      <c r="AW68" s="19"/>
      <c r="AX68" s="20">
        <v>471</v>
      </c>
      <c r="AY68" s="20">
        <v>515</v>
      </c>
      <c r="AZ68" s="20">
        <v>671</v>
      </c>
      <c r="BA68" s="22"/>
      <c r="BB68" s="22"/>
      <c r="BC68" s="22">
        <v>177</v>
      </c>
      <c r="BD68" s="22">
        <v>865</v>
      </c>
      <c r="BE68" s="22">
        <v>47</v>
      </c>
      <c r="BF68" s="22">
        <v>157</v>
      </c>
      <c r="BG68" s="22">
        <v>34</v>
      </c>
      <c r="BH68" s="22">
        <v>102</v>
      </c>
      <c r="BI68" s="36">
        <v>40</v>
      </c>
      <c r="BJ68" s="20">
        <v>370</v>
      </c>
      <c r="BK68" s="20">
        <v>17</v>
      </c>
      <c r="BL68" s="22"/>
      <c r="BM68" s="22"/>
      <c r="BN68" s="20">
        <v>91</v>
      </c>
      <c r="BO68" s="20">
        <v>186</v>
      </c>
      <c r="BP68" s="20"/>
      <c r="BQ68" s="22"/>
      <c r="BR68" s="22"/>
      <c r="BS68" s="22"/>
      <c r="BT68" s="22"/>
      <c r="BU68" s="22"/>
      <c r="BV68" s="22"/>
      <c r="BW68" s="19"/>
      <c r="BX68" s="19"/>
      <c r="BY68" s="19"/>
      <c r="BZ68" s="22"/>
      <c r="CA68" s="19"/>
      <c r="CB68" s="20">
        <v>23</v>
      </c>
      <c r="CC68" s="20">
        <v>40</v>
      </c>
      <c r="CD68" s="22"/>
      <c r="CE68" s="22">
        <v>13</v>
      </c>
      <c r="CG68" s="22">
        <f t="shared" si="138"/>
        <v>376.03305785123968</v>
      </c>
      <c r="CH68" s="22">
        <f t="shared" si="139"/>
        <v>292.91338582677167</v>
      </c>
      <c r="CI68" s="22"/>
      <c r="CJ68" s="22"/>
      <c r="CK68" s="22"/>
      <c r="CL68" s="22"/>
      <c r="CM68" s="22"/>
      <c r="CN68" s="22"/>
      <c r="CO68" s="22"/>
      <c r="CP68" s="22"/>
      <c r="CQ68" s="22"/>
      <c r="CR68" s="22"/>
      <c r="CS68" s="22"/>
      <c r="CT68" s="22"/>
      <c r="CU68" s="22">
        <f t="shared" si="140"/>
        <v>39.470588235294116</v>
      </c>
      <c r="CV68" s="22">
        <f t="shared" si="141"/>
        <v>7.3736263736263732</v>
      </c>
      <c r="CW68" s="22">
        <f t="shared" si="142"/>
        <v>5.3529411764705879</v>
      </c>
      <c r="CX68" s="20">
        <f t="shared" si="143"/>
        <v>303.27647058823527</v>
      </c>
      <c r="CY68" s="22">
        <f t="shared" si="166"/>
        <v>8.0869565217391308</v>
      </c>
      <c r="CZ68" s="22"/>
      <c r="DA68" s="22"/>
      <c r="DB68" s="22">
        <f t="shared" si="144"/>
        <v>21.764705882352942</v>
      </c>
      <c r="DC68" s="22">
        <f t="shared" si="145"/>
        <v>16.774999999999999</v>
      </c>
      <c r="DD68" s="22"/>
      <c r="DE68" s="22"/>
      <c r="DF68" s="22"/>
      <c r="DG68" s="19">
        <f t="shared" si="146"/>
        <v>0.42499999999999999</v>
      </c>
      <c r="DH68" s="20">
        <f t="shared" si="147"/>
        <v>582.05230769230775</v>
      </c>
      <c r="DI68" s="19"/>
      <c r="DJ68" s="22"/>
      <c r="DK68" s="22"/>
      <c r="DL68" s="22"/>
      <c r="DM68" s="22"/>
      <c r="DN68" s="76"/>
      <c r="DO68" s="22"/>
      <c r="DP68" s="20"/>
      <c r="DQ68" s="22"/>
      <c r="DR68" s="22"/>
      <c r="DS68" s="19"/>
      <c r="DT68" s="23">
        <f t="shared" si="148"/>
        <v>1.9417475728155339E-3</v>
      </c>
      <c r="DU68" s="22">
        <f t="shared" si="149"/>
        <v>9.25</v>
      </c>
      <c r="DV68" s="22"/>
      <c r="DW68" s="22">
        <f t="shared" si="150"/>
        <v>-0.48660319680863084</v>
      </c>
      <c r="DX68" s="22">
        <f t="shared" si="151"/>
        <v>4.5945945945945947</v>
      </c>
      <c r="DY68" s="22">
        <f t="shared" si="152"/>
        <v>10.810810810810811</v>
      </c>
      <c r="DZ68" s="19">
        <f t="shared" si="153"/>
        <v>1.0688322633431682</v>
      </c>
      <c r="EA68" s="23"/>
      <c r="EB68" s="19">
        <f t="shared" si="154"/>
        <v>2.3529411764705883</v>
      </c>
      <c r="EC68" s="19"/>
      <c r="ED68" s="19"/>
      <c r="EE68" s="19">
        <f t="shared" si="155"/>
        <v>50.403824214774254</v>
      </c>
      <c r="EF68" s="19">
        <f t="shared" si="156"/>
        <v>0.92820746947978283</v>
      </c>
      <c r="EG68" s="19">
        <f t="shared" si="157"/>
        <v>12.412076626764538</v>
      </c>
      <c r="EH68" s="19">
        <f t="shared" si="158"/>
        <v>8.5283918158004646</v>
      </c>
      <c r="EI68" s="19">
        <f t="shared" si="159"/>
        <v>0.15110354154322048</v>
      </c>
      <c r="EJ68" s="19">
        <f t="shared" si="160"/>
        <v>14.570698648810545</v>
      </c>
      <c r="EK68" s="19">
        <f t="shared" si="161"/>
        <v>5.5044861562173164</v>
      </c>
      <c r="EL68" s="19">
        <f t="shared" si="162"/>
        <v>0.21586220220460065</v>
      </c>
      <c r="EM68" s="19">
        <f t="shared" si="163"/>
        <v>6.8860042503267609</v>
      </c>
      <c r="EN68" s="19">
        <f t="shared" si="164"/>
        <v>0.39934507407851122</v>
      </c>
      <c r="EO68" s="19">
        <f t="shared" si="165"/>
        <v>100</v>
      </c>
    </row>
    <row r="69" spans="1:145" s="36" customFormat="1">
      <c r="A69" s="36" t="s">
        <v>170</v>
      </c>
      <c r="B69" s="36">
        <v>5</v>
      </c>
      <c r="C69" s="36" t="s">
        <v>163</v>
      </c>
      <c r="D69" s="36" t="s">
        <v>209</v>
      </c>
      <c r="E69" s="36" t="s">
        <v>63</v>
      </c>
      <c r="G69" s="19">
        <v>40.700000000000003</v>
      </c>
      <c r="H69" s="19">
        <v>0.8</v>
      </c>
      <c r="I69" s="19">
        <v>10</v>
      </c>
      <c r="J69" s="19">
        <v>7.4736000000000002</v>
      </c>
      <c r="K69" s="19">
        <v>0.9</v>
      </c>
      <c r="L69" s="19">
        <v>13.6</v>
      </c>
      <c r="M69" s="19">
        <v>10.4</v>
      </c>
      <c r="N69" s="19">
        <v>0.39</v>
      </c>
      <c r="O69" s="19">
        <v>6.08</v>
      </c>
      <c r="P69" s="19">
        <v>0.41</v>
      </c>
      <c r="Q69" s="19">
        <v>4.3600000000000003</v>
      </c>
      <c r="R69" s="19">
        <v>4.68</v>
      </c>
      <c r="S69" s="19">
        <f t="shared" si="167"/>
        <v>99.793599999999998</v>
      </c>
      <c r="U69" s="75"/>
      <c r="V69" s="75"/>
      <c r="W69" s="19"/>
      <c r="X69" s="19"/>
      <c r="Y69" s="19"/>
      <c r="Z69" s="19"/>
      <c r="AA69" s="19"/>
      <c r="AB69" s="22"/>
      <c r="AC69" s="22"/>
      <c r="AF69" s="19">
        <f t="shared" si="122"/>
        <v>0.80919310818478052</v>
      </c>
      <c r="AG69" s="20">
        <f t="shared" si="123"/>
        <v>4796</v>
      </c>
      <c r="AH69" s="20">
        <f t="shared" si="124"/>
        <v>50476.160000000003</v>
      </c>
      <c r="AI69" s="20">
        <f t="shared" si="125"/>
        <v>1789.2399999999998</v>
      </c>
      <c r="AJ69" s="19">
        <f t="shared" si="126"/>
        <v>6.47</v>
      </c>
      <c r="AK69" s="19">
        <f t="shared" si="127"/>
        <v>15.589743589743589</v>
      </c>
      <c r="AL69" s="19">
        <f t="shared" si="128"/>
        <v>6.4144736842105268E-2</v>
      </c>
      <c r="AM69" s="19">
        <f t="shared" si="129"/>
        <v>1.04</v>
      </c>
      <c r="AN69" s="19">
        <f t="shared" si="130"/>
        <v>0.60799999999999998</v>
      </c>
      <c r="AO69" s="19">
        <f t="shared" si="131"/>
        <v>0.72224259972910931</v>
      </c>
      <c r="AP69" s="19">
        <f t="shared" si="132"/>
        <v>1.3845763187813469</v>
      </c>
      <c r="AQ69" s="19">
        <f t="shared" si="133"/>
        <v>0.38268953566071856</v>
      </c>
      <c r="AR69" s="20">
        <f t="shared" si="134"/>
        <v>1040.2847108690366</v>
      </c>
      <c r="AS69" s="20">
        <f t="shared" si="135"/>
        <v>2185.9071911871542</v>
      </c>
      <c r="AT69" s="19"/>
      <c r="AU69" s="19">
        <f t="shared" si="136"/>
        <v>0.14938574938574939</v>
      </c>
      <c r="AV69" s="19">
        <f t="shared" si="137"/>
        <v>0.65808577494692144</v>
      </c>
      <c r="AW69" s="19"/>
      <c r="AX69" s="20">
        <v>584</v>
      </c>
      <c r="AY69" s="20">
        <v>549</v>
      </c>
      <c r="AZ69" s="20">
        <v>614</v>
      </c>
      <c r="BA69" s="22"/>
      <c r="BB69" s="22">
        <v>22</v>
      </c>
      <c r="BC69" s="22">
        <v>143</v>
      </c>
      <c r="BD69" s="22">
        <v>812</v>
      </c>
      <c r="BE69" s="22">
        <v>43</v>
      </c>
      <c r="BF69" s="22">
        <v>142</v>
      </c>
      <c r="BG69" s="22">
        <v>35</v>
      </c>
      <c r="BH69" s="22">
        <v>92</v>
      </c>
      <c r="BI69" s="36">
        <v>38</v>
      </c>
      <c r="BJ69" s="20">
        <v>331</v>
      </c>
      <c r="BK69" s="20">
        <v>13</v>
      </c>
      <c r="BL69" s="22"/>
      <c r="BM69" s="22"/>
      <c r="BN69" s="20">
        <v>66.400000000000006</v>
      </c>
      <c r="BO69" s="20">
        <v>149</v>
      </c>
      <c r="BP69" s="20">
        <v>17.5</v>
      </c>
      <c r="BQ69" s="22">
        <v>72.5</v>
      </c>
      <c r="BR69" s="22">
        <v>14.7</v>
      </c>
      <c r="BS69" s="22">
        <v>2.83</v>
      </c>
      <c r="BT69" s="22">
        <v>11.7</v>
      </c>
      <c r="BU69" s="22">
        <v>1.35</v>
      </c>
      <c r="BV69" s="22">
        <v>6.51</v>
      </c>
      <c r="BW69" s="19">
        <v>1.05</v>
      </c>
      <c r="BX69" s="19">
        <v>2.96</v>
      </c>
      <c r="BY69" s="19">
        <v>0.27</v>
      </c>
      <c r="BZ69" s="22">
        <v>1.87</v>
      </c>
      <c r="CA69" s="19">
        <v>0.33</v>
      </c>
      <c r="CB69" s="20">
        <v>26</v>
      </c>
      <c r="CC69" s="20">
        <v>34</v>
      </c>
      <c r="CD69" s="22"/>
      <c r="CE69" s="22">
        <v>15</v>
      </c>
      <c r="CG69" s="22">
        <f t="shared" si="138"/>
        <v>274.38016528925624</v>
      </c>
      <c r="CH69" s="22">
        <f t="shared" si="139"/>
        <v>234.64566929133858</v>
      </c>
      <c r="CI69" s="22">
        <f>BP69/0.0963</f>
        <v>181.72377985462097</v>
      </c>
      <c r="CJ69" s="22">
        <f>BQ69/0.48</f>
        <v>151.04166666666669</v>
      </c>
      <c r="CK69" s="22">
        <f>BR69/0.156</f>
        <v>94.230769230769226</v>
      </c>
      <c r="CL69" s="22">
        <f>BS69/0.0591</f>
        <v>47.884940778341793</v>
      </c>
      <c r="CM69" s="22">
        <f>BT69/0.212</f>
        <v>55.188679245283019</v>
      </c>
      <c r="CN69" s="22">
        <f>BU69/0.0376</f>
        <v>35.904255319148938</v>
      </c>
      <c r="CO69" s="22">
        <f>BV69/0.259</f>
        <v>25.135135135135133</v>
      </c>
      <c r="CP69" s="22">
        <f>BW69/0.0585</f>
        <v>17.948717948717949</v>
      </c>
      <c r="CQ69" s="22">
        <f>BX69/0.163</f>
        <v>18.159509202453986</v>
      </c>
      <c r="CR69" s="22">
        <f>BY69/0.0256</f>
        <v>10.546875</v>
      </c>
      <c r="CS69" s="22">
        <f>BZ69/0.166</f>
        <v>11.265060240963855</v>
      </c>
      <c r="CT69" s="22">
        <f>CA69/0.024</f>
        <v>13.75</v>
      </c>
      <c r="CU69" s="22">
        <f t="shared" si="140"/>
        <v>47.230769230769234</v>
      </c>
      <c r="CV69" s="22">
        <f t="shared" si="141"/>
        <v>9.2469879518072275</v>
      </c>
      <c r="CW69" s="22">
        <f t="shared" si="142"/>
        <v>5.1076923076923082</v>
      </c>
      <c r="CX69" s="20">
        <f t="shared" si="143"/>
        <v>368.92307692307691</v>
      </c>
      <c r="CY69" s="22">
        <f t="shared" si="166"/>
        <v>5.7307692307692308</v>
      </c>
      <c r="CZ69" s="22"/>
      <c r="DA69" s="22">
        <f>AX69/BR69</f>
        <v>39.72789115646259</v>
      </c>
      <c r="DB69" s="22">
        <f t="shared" si="144"/>
        <v>25.46153846153846</v>
      </c>
      <c r="DC69" s="22">
        <f t="shared" si="145"/>
        <v>18.058823529411764</v>
      </c>
      <c r="DD69" s="22"/>
      <c r="DE69" s="22"/>
      <c r="DF69" s="22">
        <f>CC69/BZ69</f>
        <v>18.18181818181818</v>
      </c>
      <c r="DG69" s="19">
        <f t="shared" si="146"/>
        <v>0.34210526315789475</v>
      </c>
      <c r="DH69" s="20">
        <f t="shared" si="147"/>
        <v>760.18313253012047</v>
      </c>
      <c r="DI69" s="19"/>
      <c r="DJ69" s="22">
        <f>BN69/CA69</f>
        <v>201.21212121212122</v>
      </c>
      <c r="DK69" s="22">
        <f>CG69/CT69</f>
        <v>19.954921111945907</v>
      </c>
      <c r="DL69" s="22">
        <f>CG69/CK69</f>
        <v>2.9117895091921073</v>
      </c>
      <c r="DM69" s="22">
        <f>BN69/BZ69</f>
        <v>35.508021390374331</v>
      </c>
      <c r="DN69" s="76"/>
      <c r="DO69" s="22">
        <f>BR69/BZ69</f>
        <v>7.8609625668449192</v>
      </c>
      <c r="DP69" s="20">
        <f>AY69/BZ69</f>
        <v>293.58288770053474</v>
      </c>
      <c r="DQ69" s="22">
        <f>AY69/BQ69</f>
        <v>7.5724137931034479</v>
      </c>
      <c r="DR69" s="22">
        <f>AY69/(((BR69/0.195)*(BT69/0.259))^0.5)</f>
        <v>9.4077969183620702</v>
      </c>
      <c r="DS69" s="19">
        <f>(BS69/0.074)/(((BR69/0.195)*(BT69/0.259))^0.5)</f>
        <v>0.65534547528589238</v>
      </c>
      <c r="DT69" s="23">
        <f t="shared" si="148"/>
        <v>1.8214936247723133E-3</v>
      </c>
      <c r="DU69" s="22">
        <f t="shared" si="149"/>
        <v>8.7105263157894743</v>
      </c>
      <c r="DV69" s="22"/>
      <c r="DW69" s="22">
        <f t="shared" si="150"/>
        <v>-0.53072548685507792</v>
      </c>
      <c r="DX69" s="22">
        <f t="shared" si="151"/>
        <v>3.9274924471299095</v>
      </c>
      <c r="DY69" s="22">
        <f t="shared" si="152"/>
        <v>10.271903323262841</v>
      </c>
      <c r="DZ69" s="19">
        <f t="shared" si="153"/>
        <v>2.0873589254456086</v>
      </c>
      <c r="EA69" s="23"/>
      <c r="EB69" s="19">
        <f t="shared" si="154"/>
        <v>2.6153846153846154</v>
      </c>
      <c r="EC69" s="19">
        <f>(CB69/0.144)/(CH69*CI69)^(1/2)</f>
        <v>0.87437695634524737</v>
      </c>
      <c r="ED69" s="19"/>
      <c r="EE69" s="19">
        <f t="shared" si="155"/>
        <v>44.846705805609922</v>
      </c>
      <c r="EF69" s="19">
        <f t="shared" si="156"/>
        <v>0.88150773082279943</v>
      </c>
      <c r="EG69" s="19">
        <f t="shared" si="157"/>
        <v>11.018846635284993</v>
      </c>
      <c r="EH69" s="19">
        <f t="shared" si="158"/>
        <v>8.2350452213465921</v>
      </c>
      <c r="EI69" s="19">
        <f t="shared" si="159"/>
        <v>0.99169619717564927</v>
      </c>
      <c r="EJ69" s="19">
        <f t="shared" si="160"/>
        <v>14.98563142398759</v>
      </c>
      <c r="EK69" s="19">
        <f t="shared" si="161"/>
        <v>11.459600500696393</v>
      </c>
      <c r="EL69" s="19">
        <f t="shared" si="162"/>
        <v>0.4297350187761147</v>
      </c>
      <c r="EM69" s="19">
        <f t="shared" si="163"/>
        <v>6.6994587542532757</v>
      </c>
      <c r="EN69" s="19">
        <f t="shared" si="164"/>
        <v>0.45177271204668468</v>
      </c>
      <c r="EO69" s="19">
        <f t="shared" si="165"/>
        <v>100.00000000000001</v>
      </c>
    </row>
    <row r="70" spans="1:145" s="36" customFormat="1">
      <c r="A70" s="36" t="s">
        <v>170</v>
      </c>
      <c r="B70" s="36">
        <v>5</v>
      </c>
      <c r="C70" s="36" t="s">
        <v>163</v>
      </c>
      <c r="D70" s="36" t="s">
        <v>209</v>
      </c>
      <c r="E70" s="36" t="s">
        <v>63</v>
      </c>
      <c r="G70" s="19">
        <v>46</v>
      </c>
      <c r="H70" s="19">
        <v>0.83</v>
      </c>
      <c r="I70" s="19">
        <v>10.7</v>
      </c>
      <c r="J70" s="19">
        <v>7.5986000000000002</v>
      </c>
      <c r="K70" s="19">
        <v>0.13</v>
      </c>
      <c r="L70" s="19">
        <v>15.5</v>
      </c>
      <c r="M70" s="19">
        <v>5.5</v>
      </c>
      <c r="N70" s="19">
        <v>0.18</v>
      </c>
      <c r="O70" s="19">
        <v>5.67</v>
      </c>
      <c r="P70" s="19">
        <v>0.36</v>
      </c>
      <c r="Q70" s="19">
        <v>5.47</v>
      </c>
      <c r="R70" s="19">
        <v>1.96</v>
      </c>
      <c r="S70" s="19">
        <f t="shared" si="167"/>
        <v>99.898600000000002</v>
      </c>
      <c r="U70" s="75"/>
      <c r="V70" s="75"/>
      <c r="W70" s="19"/>
      <c r="X70" s="19"/>
      <c r="Y70" s="19"/>
      <c r="Z70" s="19"/>
      <c r="AA70" s="19"/>
      <c r="AB70" s="22"/>
      <c r="AC70" s="22"/>
      <c r="AF70" s="19">
        <f t="shared" si="122"/>
        <v>0.82620388696659619</v>
      </c>
      <c r="AG70" s="20">
        <f t="shared" si="123"/>
        <v>4975.8499999999995</v>
      </c>
      <c r="AH70" s="20">
        <f t="shared" si="124"/>
        <v>47072.34</v>
      </c>
      <c r="AI70" s="20">
        <f t="shared" si="125"/>
        <v>1571.04</v>
      </c>
      <c r="AJ70" s="19">
        <f t="shared" si="126"/>
        <v>5.85</v>
      </c>
      <c r="AK70" s="19">
        <f t="shared" si="127"/>
        <v>31.5</v>
      </c>
      <c r="AL70" s="19">
        <f t="shared" si="128"/>
        <v>3.1746031746031744E-2</v>
      </c>
      <c r="AM70" s="19">
        <f t="shared" si="129"/>
        <v>0.51401869158878499</v>
      </c>
      <c r="AN70" s="19">
        <f t="shared" si="130"/>
        <v>0.52990654205607479</v>
      </c>
      <c r="AO70" s="19">
        <f t="shared" si="131"/>
        <v>0.60123282473078554</v>
      </c>
      <c r="AP70" s="19">
        <f t="shared" si="132"/>
        <v>1.6632491754716998</v>
      </c>
      <c r="AQ70" s="19">
        <f t="shared" si="133"/>
        <v>0.65113538024078388</v>
      </c>
      <c r="AR70" s="20">
        <f t="shared" si="134"/>
        <v>1582.5591362591958</v>
      </c>
      <c r="AS70" s="20">
        <f t="shared" si="135"/>
        <v>1695.2371697897331</v>
      </c>
      <c r="AT70" s="19"/>
      <c r="AU70" s="19">
        <f t="shared" si="136"/>
        <v>0.1232608695652174</v>
      </c>
      <c r="AV70" s="19">
        <f t="shared" si="137"/>
        <v>0.57355914042502532</v>
      </c>
      <c r="AW70" s="19"/>
      <c r="AX70" s="20">
        <v>455</v>
      </c>
      <c r="AY70" s="20">
        <v>460</v>
      </c>
      <c r="AZ70" s="20">
        <v>653</v>
      </c>
      <c r="BA70" s="22"/>
      <c r="BB70" s="22"/>
      <c r="BC70" s="22">
        <v>162</v>
      </c>
      <c r="BD70" s="22">
        <v>804</v>
      </c>
      <c r="BE70" s="22">
        <v>39</v>
      </c>
      <c r="BF70" s="22">
        <v>152</v>
      </c>
      <c r="BG70" s="22">
        <v>30</v>
      </c>
      <c r="BH70" s="22">
        <v>99</v>
      </c>
      <c r="BI70" s="36">
        <v>40</v>
      </c>
      <c r="BJ70" s="20">
        <v>350</v>
      </c>
      <c r="BK70" s="20">
        <v>16</v>
      </c>
      <c r="BL70" s="22"/>
      <c r="BM70" s="22"/>
      <c r="BN70" s="20">
        <v>84</v>
      </c>
      <c r="BO70" s="20">
        <v>184</v>
      </c>
      <c r="BP70" s="20"/>
      <c r="BQ70" s="22"/>
      <c r="BR70" s="22"/>
      <c r="BS70" s="22"/>
      <c r="BT70" s="22"/>
      <c r="BU70" s="22"/>
      <c r="BV70" s="22"/>
      <c r="BW70" s="19"/>
      <c r="BX70" s="19"/>
      <c r="BY70" s="19"/>
      <c r="BZ70" s="22"/>
      <c r="CA70" s="19"/>
      <c r="CB70" s="20">
        <v>25</v>
      </c>
      <c r="CC70" s="20">
        <v>41</v>
      </c>
      <c r="CD70" s="22"/>
      <c r="CE70" s="22">
        <v>13</v>
      </c>
      <c r="CG70" s="22">
        <f t="shared" si="138"/>
        <v>347.10743801652893</v>
      </c>
      <c r="CH70" s="22">
        <f t="shared" si="139"/>
        <v>289.76377952755905</v>
      </c>
      <c r="CI70" s="22"/>
      <c r="CJ70" s="22"/>
      <c r="CK70" s="22"/>
      <c r="CL70" s="22"/>
      <c r="CM70" s="22"/>
      <c r="CN70" s="22"/>
      <c r="CO70" s="22"/>
      <c r="CP70" s="22"/>
      <c r="CQ70" s="22"/>
      <c r="CR70" s="22"/>
      <c r="CS70" s="22"/>
      <c r="CT70" s="22"/>
      <c r="CU70" s="22">
        <f t="shared" si="140"/>
        <v>40.8125</v>
      </c>
      <c r="CV70" s="22">
        <f t="shared" si="141"/>
        <v>7.7738095238095237</v>
      </c>
      <c r="CW70" s="22">
        <f t="shared" si="142"/>
        <v>5.25</v>
      </c>
      <c r="CX70" s="20">
        <f t="shared" si="143"/>
        <v>310.99062499999997</v>
      </c>
      <c r="CY70" s="22">
        <f t="shared" si="166"/>
        <v>7.36</v>
      </c>
      <c r="CZ70" s="22"/>
      <c r="DA70" s="22"/>
      <c r="DB70" s="22">
        <f t="shared" si="144"/>
        <v>21.875</v>
      </c>
      <c r="DC70" s="22">
        <f t="shared" si="145"/>
        <v>15.926829268292684</v>
      </c>
      <c r="DD70" s="22"/>
      <c r="DE70" s="22"/>
      <c r="DF70" s="22"/>
      <c r="DG70" s="19">
        <f t="shared" si="146"/>
        <v>0.4</v>
      </c>
      <c r="DH70" s="20">
        <f t="shared" si="147"/>
        <v>560.38499999999999</v>
      </c>
      <c r="DI70" s="19"/>
      <c r="DJ70" s="22"/>
      <c r="DK70" s="22"/>
      <c r="DL70" s="22"/>
      <c r="DM70" s="22"/>
      <c r="DN70" s="76"/>
      <c r="DO70" s="22"/>
      <c r="DP70" s="20"/>
      <c r="DQ70" s="22"/>
      <c r="DR70" s="22"/>
      <c r="DS70" s="19"/>
      <c r="DT70" s="23">
        <f t="shared" si="148"/>
        <v>2.1739130434782609E-3</v>
      </c>
      <c r="DU70" s="22">
        <f t="shared" si="149"/>
        <v>8.75</v>
      </c>
      <c r="DV70" s="22"/>
      <c r="DW70" s="22">
        <f t="shared" si="150"/>
        <v>-0.46659547047487915</v>
      </c>
      <c r="DX70" s="22">
        <f t="shared" si="151"/>
        <v>4.5714285714285712</v>
      </c>
      <c r="DY70" s="22">
        <f t="shared" si="152"/>
        <v>11.714285714285714</v>
      </c>
      <c r="DZ70" s="19">
        <f t="shared" si="153"/>
        <v>1.2930358780310756</v>
      </c>
      <c r="EA70" s="23"/>
      <c r="EB70" s="19">
        <f t="shared" si="154"/>
        <v>2.5625</v>
      </c>
      <c r="EC70" s="19"/>
      <c r="ED70" s="19"/>
      <c r="EE70" s="19">
        <f t="shared" si="155"/>
        <v>49.746616689341025</v>
      </c>
      <c r="EF70" s="19">
        <f t="shared" si="156"/>
        <v>0.89760199678593589</v>
      </c>
      <c r="EG70" s="19">
        <f t="shared" si="157"/>
        <v>11.571495621216283</v>
      </c>
      <c r="EH70" s="19">
        <f t="shared" si="158"/>
        <v>8.2174922081657975</v>
      </c>
      <c r="EI70" s="19">
        <f t="shared" si="159"/>
        <v>0.14058826455683332</v>
      </c>
      <c r="EJ70" s="19">
        <f t="shared" si="160"/>
        <v>16.762446927930128</v>
      </c>
      <c r="EK70" s="19">
        <f t="shared" si="161"/>
        <v>5.9479650389429484</v>
      </c>
      <c r="EL70" s="19">
        <f t="shared" si="162"/>
        <v>0.19466067400176923</v>
      </c>
      <c r="EM70" s="19">
        <f t="shared" si="163"/>
        <v>6.1318112310557309</v>
      </c>
      <c r="EN70" s="19">
        <f t="shared" si="164"/>
        <v>0.38932134800353846</v>
      </c>
      <c r="EO70" s="19">
        <f t="shared" si="165"/>
        <v>100</v>
      </c>
    </row>
    <row r="71" spans="1:145" s="36" customFormat="1">
      <c r="A71" s="36" t="s">
        <v>170</v>
      </c>
      <c r="B71" s="36">
        <v>5</v>
      </c>
      <c r="C71" s="36" t="s">
        <v>211</v>
      </c>
      <c r="D71" s="36" t="s">
        <v>209</v>
      </c>
      <c r="E71" s="36" t="s">
        <v>63</v>
      </c>
      <c r="G71" s="19">
        <v>49.1</v>
      </c>
      <c r="H71" s="19">
        <v>0.84</v>
      </c>
      <c r="I71" s="19">
        <v>13</v>
      </c>
      <c r="J71" s="19">
        <v>8.0484000000000009</v>
      </c>
      <c r="K71" s="19">
        <v>0.15</v>
      </c>
      <c r="L71" s="19">
        <v>12.2</v>
      </c>
      <c r="M71" s="19">
        <v>5.6</v>
      </c>
      <c r="N71" s="19">
        <v>0.36</v>
      </c>
      <c r="O71" s="19">
        <v>5.21</v>
      </c>
      <c r="P71" s="19">
        <v>0.36</v>
      </c>
      <c r="Q71" s="19">
        <v>4.97</v>
      </c>
      <c r="R71" s="19"/>
      <c r="S71" s="19">
        <f t="shared" si="167"/>
        <v>99.838400000000007</v>
      </c>
      <c r="U71" s="75"/>
      <c r="V71" s="75"/>
      <c r="W71" s="19"/>
      <c r="X71" s="19"/>
      <c r="Y71" s="19"/>
      <c r="Z71" s="19"/>
      <c r="AA71" s="19"/>
      <c r="AB71" s="22"/>
      <c r="AC71" s="22"/>
      <c r="AF71" s="19">
        <f t="shared" si="122"/>
        <v>0.77937800507122434</v>
      </c>
      <c r="AG71" s="20">
        <f t="shared" si="123"/>
        <v>5035.8</v>
      </c>
      <c r="AH71" s="20">
        <f>N71*8302</f>
        <v>2988.72</v>
      </c>
      <c r="AI71" s="20">
        <f>O71*4364</f>
        <v>22736.44</v>
      </c>
      <c r="AJ71" s="19">
        <f t="shared" si="126"/>
        <v>5.57</v>
      </c>
      <c r="AK71" s="19">
        <f t="shared" si="127"/>
        <v>14.472222222222223</v>
      </c>
      <c r="AL71" s="19">
        <f t="shared" si="128"/>
        <v>6.9097888675623803E-2</v>
      </c>
      <c r="AM71" s="19">
        <f t="shared" si="129"/>
        <v>0.43076923076923074</v>
      </c>
      <c r="AN71" s="19">
        <f t="shared" si="130"/>
        <v>0.40076923076923077</v>
      </c>
      <c r="AO71" s="19">
        <f t="shared" si="131"/>
        <v>0.47933890798488987</v>
      </c>
      <c r="AP71" s="19">
        <f t="shared" si="132"/>
        <v>2.0862066136127693</v>
      </c>
      <c r="AQ71" s="19">
        <f t="shared" si="133"/>
        <v>0.792061792551224</v>
      </c>
      <c r="AR71" s="20">
        <f t="shared" si="134"/>
        <v>1793.8364503411108</v>
      </c>
      <c r="AS71" s="20">
        <f t="shared" si="135"/>
        <v>1538.5577268209308</v>
      </c>
      <c r="AT71" s="19"/>
      <c r="AU71" s="19">
        <f t="shared" si="136"/>
        <v>0.10610997963340121</v>
      </c>
      <c r="AV71" s="19">
        <f t="shared" si="137"/>
        <v>0.43378376612771513</v>
      </c>
      <c r="AW71" s="19"/>
      <c r="AX71" s="20">
        <v>765</v>
      </c>
      <c r="AY71" s="20">
        <v>426</v>
      </c>
      <c r="AZ71" s="20">
        <v>786</v>
      </c>
      <c r="BA71" s="22"/>
      <c r="BB71" s="22"/>
      <c r="BC71" s="22">
        <v>173</v>
      </c>
      <c r="BD71" s="22">
        <v>879</v>
      </c>
      <c r="BE71" s="22">
        <v>48</v>
      </c>
      <c r="BF71" s="22">
        <v>161</v>
      </c>
      <c r="BG71" s="22">
        <v>41</v>
      </c>
      <c r="BH71" s="22">
        <v>111</v>
      </c>
      <c r="BI71" s="36">
        <v>55</v>
      </c>
      <c r="BJ71" s="20">
        <v>396</v>
      </c>
      <c r="BK71" s="20">
        <v>18</v>
      </c>
      <c r="BL71" s="22"/>
      <c r="BM71" s="22"/>
      <c r="BN71" s="20">
        <v>98</v>
      </c>
      <c r="BO71" s="20">
        <v>193</v>
      </c>
      <c r="BP71" s="20"/>
      <c r="BQ71" s="22"/>
      <c r="BR71" s="22"/>
      <c r="BS71" s="22"/>
      <c r="BT71" s="22"/>
      <c r="BU71" s="22"/>
      <c r="BV71" s="22"/>
      <c r="BW71" s="19"/>
      <c r="BX71" s="19"/>
      <c r="BY71" s="19"/>
      <c r="BZ71" s="22"/>
      <c r="CA71" s="19"/>
      <c r="CB71" s="20"/>
      <c r="CC71" s="20">
        <v>40</v>
      </c>
      <c r="CD71" s="22"/>
      <c r="CE71" s="22">
        <v>17</v>
      </c>
      <c r="CG71" s="22">
        <f t="shared" si="138"/>
        <v>404.95867768595042</v>
      </c>
      <c r="CH71" s="22">
        <f t="shared" si="139"/>
        <v>303.93700787401576</v>
      </c>
      <c r="CI71" s="22"/>
      <c r="CJ71" s="22"/>
      <c r="CK71" s="22"/>
      <c r="CL71" s="22"/>
      <c r="CM71" s="22"/>
      <c r="CN71" s="22"/>
      <c r="CO71" s="22"/>
      <c r="CP71" s="22"/>
      <c r="CQ71" s="22"/>
      <c r="CR71" s="22"/>
      <c r="CS71" s="22"/>
      <c r="CT71" s="22"/>
      <c r="CU71" s="22">
        <f t="shared" si="140"/>
        <v>43.666666666666664</v>
      </c>
      <c r="CV71" s="22">
        <f t="shared" si="141"/>
        <v>8.0204081632653068</v>
      </c>
      <c r="CW71" s="22">
        <f t="shared" si="142"/>
        <v>5.4444444444444446</v>
      </c>
      <c r="CX71" s="20">
        <f t="shared" si="143"/>
        <v>279.76666666666665</v>
      </c>
      <c r="CY71" s="22"/>
      <c r="CZ71" s="22"/>
      <c r="DA71" s="22"/>
      <c r="DB71" s="22">
        <f t="shared" si="144"/>
        <v>22</v>
      </c>
      <c r="DC71" s="22">
        <f t="shared" si="145"/>
        <v>19.649999999999999</v>
      </c>
      <c r="DD71" s="22"/>
      <c r="DE71" s="22"/>
      <c r="DF71" s="22"/>
      <c r="DG71" s="19">
        <f t="shared" si="146"/>
        <v>0.32727272727272727</v>
      </c>
      <c r="DH71" s="20">
        <f t="shared" si="147"/>
        <v>30.497142857142855</v>
      </c>
      <c r="DI71" s="19"/>
      <c r="DJ71" s="22"/>
      <c r="DK71" s="22"/>
      <c r="DL71" s="22"/>
      <c r="DM71" s="22"/>
      <c r="DN71" s="76"/>
      <c r="DO71" s="22"/>
      <c r="DP71" s="20"/>
      <c r="DQ71" s="22"/>
      <c r="DR71" s="22"/>
      <c r="DS71" s="19"/>
      <c r="DT71" s="23">
        <f t="shared" si="148"/>
        <v>2.3474178403755869E-3</v>
      </c>
      <c r="DU71" s="22">
        <f t="shared" si="149"/>
        <v>7.2</v>
      </c>
      <c r="DV71" s="22"/>
      <c r="DW71" s="22">
        <f t="shared" si="150"/>
        <v>-0.39116857753897327</v>
      </c>
      <c r="DX71" s="22">
        <f t="shared" si="151"/>
        <v>4.5454545454545459</v>
      </c>
      <c r="DY71" s="22">
        <f t="shared" si="152"/>
        <v>10.1010101010101</v>
      </c>
      <c r="DZ71" s="19">
        <f t="shared" si="153"/>
        <v>1.3856605472531722</v>
      </c>
      <c r="EA71" s="23"/>
      <c r="EB71" s="19">
        <f t="shared" si="154"/>
        <v>2.2222222222222223</v>
      </c>
      <c r="EC71" s="19"/>
      <c r="ED71" s="19"/>
      <c r="EE71" s="19">
        <f t="shared" si="155"/>
        <v>51.755906076206614</v>
      </c>
      <c r="EF71" s="19">
        <f t="shared" si="156"/>
        <v>0.88543708969477708</v>
      </c>
      <c r="EG71" s="19">
        <f t="shared" si="157"/>
        <v>13.703193054800122</v>
      </c>
      <c r="EH71" s="19">
        <f t="shared" si="158"/>
        <v>8.4837522294041019</v>
      </c>
      <c r="EI71" s="19">
        <f t="shared" si="159"/>
        <v>0.15811376601692448</v>
      </c>
      <c r="EJ71" s="19">
        <f t="shared" si="160"/>
        <v>12.859919636043191</v>
      </c>
      <c r="EK71" s="19">
        <f t="shared" si="161"/>
        <v>5.9029139312985137</v>
      </c>
      <c r="EL71" s="19">
        <f t="shared" si="162"/>
        <v>0.37947303844061875</v>
      </c>
      <c r="EM71" s="19">
        <f t="shared" si="163"/>
        <v>5.4918181396545105</v>
      </c>
      <c r="EN71" s="19">
        <f t="shared" si="164"/>
        <v>0.37947303844061875</v>
      </c>
      <c r="EO71" s="19">
        <f t="shared" si="165"/>
        <v>100</v>
      </c>
    </row>
    <row r="72" spans="1:145" s="36" customFormat="1">
      <c r="A72" s="36" t="s">
        <v>170</v>
      </c>
      <c r="B72" s="36">
        <v>5</v>
      </c>
      <c r="C72" s="36" t="s">
        <v>210</v>
      </c>
      <c r="D72" s="36" t="s">
        <v>209</v>
      </c>
      <c r="E72" s="36" t="s">
        <v>63</v>
      </c>
      <c r="G72" s="19">
        <v>43.1</v>
      </c>
      <c r="H72" s="19">
        <v>0.81</v>
      </c>
      <c r="I72" s="19">
        <v>9.9</v>
      </c>
      <c r="J72" s="19">
        <v>6.8826000000000001</v>
      </c>
      <c r="K72" s="19">
        <v>0.09</v>
      </c>
      <c r="L72" s="19">
        <v>7.6</v>
      </c>
      <c r="M72" s="19">
        <v>13.6</v>
      </c>
      <c r="N72" s="19">
        <v>0.82</v>
      </c>
      <c r="O72" s="19">
        <v>4.88</v>
      </c>
      <c r="P72" s="19">
        <v>0.33</v>
      </c>
      <c r="Q72" s="19">
        <v>4.51</v>
      </c>
      <c r="R72" s="19">
        <v>7.28</v>
      </c>
      <c r="S72" s="19">
        <f t="shared" si="167"/>
        <v>99.802599999999984</v>
      </c>
      <c r="U72" s="75"/>
      <c r="V72" s="75"/>
      <c r="W72" s="19"/>
      <c r="X72" s="19"/>
      <c r="Y72" s="19"/>
      <c r="Z72" s="19"/>
      <c r="AA72" s="19"/>
      <c r="AB72" s="22"/>
      <c r="AC72" s="22"/>
      <c r="AF72" s="19">
        <f t="shared" si="122"/>
        <v>0.72015578578632033</v>
      </c>
      <c r="AG72" s="20">
        <f t="shared" si="123"/>
        <v>4855.9500000000007</v>
      </c>
      <c r="AH72" s="20">
        <f>N72*8302</f>
        <v>6807.6399999999994</v>
      </c>
      <c r="AI72" s="20">
        <f>O72*4364</f>
        <v>21296.32</v>
      </c>
      <c r="AJ72" s="19">
        <f t="shared" si="126"/>
        <v>5.7</v>
      </c>
      <c r="AK72" s="19">
        <f t="shared" si="127"/>
        <v>5.9512195121951219</v>
      </c>
      <c r="AL72" s="19">
        <f t="shared" si="128"/>
        <v>0.16803278688524589</v>
      </c>
      <c r="AM72" s="19">
        <f t="shared" si="129"/>
        <v>1.3737373737373737</v>
      </c>
      <c r="AN72" s="19">
        <f t="shared" si="130"/>
        <v>0.49292929292929288</v>
      </c>
      <c r="AO72" s="19">
        <f t="shared" si="131"/>
        <v>0.6697921831817909</v>
      </c>
      <c r="AP72" s="19">
        <f t="shared" si="132"/>
        <v>1.4930004038709215</v>
      </c>
      <c r="AQ72" s="19">
        <f t="shared" si="133"/>
        <v>0.31571562056291697</v>
      </c>
      <c r="AR72" s="20">
        <f t="shared" si="134"/>
        <v>1415.7756364224215</v>
      </c>
      <c r="AS72" s="20">
        <f t="shared" si="135"/>
        <v>2302.4308012491774</v>
      </c>
      <c r="AT72" s="19"/>
      <c r="AU72" s="19">
        <f t="shared" si="136"/>
        <v>0.11322505800464036</v>
      </c>
      <c r="AV72" s="19">
        <f t="shared" si="137"/>
        <v>0.53353578245297983</v>
      </c>
      <c r="AW72" s="19"/>
      <c r="AX72" s="20">
        <v>451</v>
      </c>
      <c r="AY72" s="20">
        <v>1324</v>
      </c>
      <c r="AZ72" s="20">
        <v>624</v>
      </c>
      <c r="BA72" s="22"/>
      <c r="BB72" s="22"/>
      <c r="BC72" s="22">
        <v>124</v>
      </c>
      <c r="BD72" s="22">
        <v>565</v>
      </c>
      <c r="BE72" s="22">
        <v>45</v>
      </c>
      <c r="BF72" s="22">
        <v>109</v>
      </c>
      <c r="BG72" s="22">
        <v>36</v>
      </c>
      <c r="BH72" s="22">
        <v>90</v>
      </c>
      <c r="BI72" s="36">
        <v>34</v>
      </c>
      <c r="BJ72" s="20">
        <v>295</v>
      </c>
      <c r="BK72" s="20">
        <v>14</v>
      </c>
      <c r="BL72" s="22"/>
      <c r="BM72" s="22"/>
      <c r="BN72" s="20">
        <v>63</v>
      </c>
      <c r="BO72" s="20">
        <v>135</v>
      </c>
      <c r="BP72" s="20"/>
      <c r="BQ72" s="22"/>
      <c r="BR72" s="22"/>
      <c r="BS72" s="22"/>
      <c r="BT72" s="22"/>
      <c r="BU72" s="22"/>
      <c r="BV72" s="22"/>
      <c r="BW72" s="19"/>
      <c r="BX72" s="19"/>
      <c r="BY72" s="19"/>
      <c r="BZ72" s="22"/>
      <c r="CA72" s="19"/>
      <c r="CB72" s="20"/>
      <c r="CC72" s="20">
        <v>30</v>
      </c>
      <c r="CD72" s="22">
        <v>6</v>
      </c>
      <c r="CE72" s="22">
        <v>12</v>
      </c>
      <c r="CG72" s="22">
        <f t="shared" si="138"/>
        <v>260.3305785123967</v>
      </c>
      <c r="CH72" s="22">
        <f t="shared" si="139"/>
        <v>212.5984251968504</v>
      </c>
      <c r="CI72" s="22"/>
      <c r="CJ72" s="22"/>
      <c r="CK72" s="22"/>
      <c r="CL72" s="22"/>
      <c r="CM72" s="22"/>
      <c r="CN72" s="22"/>
      <c r="CO72" s="22"/>
      <c r="CP72" s="22"/>
      <c r="CQ72" s="22"/>
      <c r="CR72" s="22"/>
      <c r="CS72" s="22"/>
      <c r="CT72" s="22"/>
      <c r="CU72" s="22">
        <f t="shared" si="140"/>
        <v>44.571428571428569</v>
      </c>
      <c r="CV72" s="22">
        <f t="shared" si="141"/>
        <v>9.9047619047619051</v>
      </c>
      <c r="CW72" s="22">
        <f t="shared" si="142"/>
        <v>4.5</v>
      </c>
      <c r="CX72" s="20">
        <f t="shared" si="143"/>
        <v>346.85357142857146</v>
      </c>
      <c r="CY72" s="22"/>
      <c r="CZ72" s="22"/>
      <c r="DA72" s="22"/>
      <c r="DB72" s="22">
        <f t="shared" si="144"/>
        <v>21.071428571428573</v>
      </c>
      <c r="DC72" s="22">
        <f t="shared" si="145"/>
        <v>20.8</v>
      </c>
      <c r="DD72" s="22"/>
      <c r="DE72" s="22"/>
      <c r="DF72" s="22"/>
      <c r="DG72" s="19">
        <f t="shared" si="146"/>
        <v>0.41176470588235292</v>
      </c>
      <c r="DH72" s="20">
        <f t="shared" si="147"/>
        <v>108.05777777777777</v>
      </c>
      <c r="DI72" s="19">
        <f>(BK72/0.46)/((O72/0.023)*(CD72/0.017))^0.5</f>
        <v>0.11121747898269559</v>
      </c>
      <c r="DJ72" s="22"/>
      <c r="DK72" s="22"/>
      <c r="DL72" s="22"/>
      <c r="DM72" s="22"/>
      <c r="DN72" s="76"/>
      <c r="DO72" s="22"/>
      <c r="DP72" s="20"/>
      <c r="DQ72" s="22"/>
      <c r="DR72" s="22"/>
      <c r="DS72" s="19"/>
      <c r="DT72" s="23">
        <f t="shared" si="148"/>
        <v>7.5528700906344411E-4</v>
      </c>
      <c r="DU72" s="22">
        <f t="shared" si="149"/>
        <v>8.6764705882352935</v>
      </c>
      <c r="DV72" s="22"/>
      <c r="DW72" s="22">
        <f t="shared" si="150"/>
        <v>-0.44696963132096013</v>
      </c>
      <c r="DX72" s="22">
        <f t="shared" si="151"/>
        <v>4.7457627118644066</v>
      </c>
      <c r="DY72" s="22">
        <f t="shared" si="152"/>
        <v>10.169491525423728</v>
      </c>
      <c r="DZ72" s="19">
        <f t="shared" si="153"/>
        <v>1.1670946345481037</v>
      </c>
      <c r="EA72" s="23"/>
      <c r="EB72" s="19">
        <f t="shared" si="154"/>
        <v>2.1428571428571428</v>
      </c>
      <c r="EC72" s="19"/>
      <c r="ED72" s="19"/>
      <c r="EE72" s="19">
        <f t="shared" si="155"/>
        <v>48.970261076255007</v>
      </c>
      <c r="EF72" s="19">
        <f t="shared" si="156"/>
        <v>0.92032277196674139</v>
      </c>
      <c r="EG72" s="19">
        <f t="shared" si="157"/>
        <v>11.248389435149061</v>
      </c>
      <c r="EH72" s="19">
        <f t="shared" si="158"/>
        <v>7.820016679429993</v>
      </c>
      <c r="EI72" s="19">
        <f t="shared" si="159"/>
        <v>0.10225808577408238</v>
      </c>
      <c r="EJ72" s="19">
        <f t="shared" si="160"/>
        <v>8.6351272431447335</v>
      </c>
      <c r="EK72" s="19">
        <f t="shared" si="161"/>
        <v>15.452332961416891</v>
      </c>
      <c r="EL72" s="19">
        <f t="shared" si="162"/>
        <v>0.93168478149719491</v>
      </c>
      <c r="EM72" s="19">
        <f t="shared" si="163"/>
        <v>5.5446606508613554</v>
      </c>
      <c r="EN72" s="19">
        <f t="shared" si="164"/>
        <v>0.37494631450496868</v>
      </c>
      <c r="EO72" s="19">
        <f t="shared" si="165"/>
        <v>100.00000000000003</v>
      </c>
    </row>
    <row r="73" spans="1:145" s="36" customFormat="1">
      <c r="A73" s="36" t="s">
        <v>170</v>
      </c>
      <c r="B73" s="36">
        <v>5</v>
      </c>
      <c r="C73" s="36" t="s">
        <v>210</v>
      </c>
      <c r="D73" s="36" t="s">
        <v>209</v>
      </c>
      <c r="E73" s="36" t="s">
        <v>63</v>
      </c>
      <c r="G73" s="19">
        <v>44.6</v>
      </c>
      <c r="H73" s="19">
        <v>0.93</v>
      </c>
      <c r="I73" s="19">
        <v>11.6</v>
      </c>
      <c r="J73" s="19">
        <v>8.0118000000000009</v>
      </c>
      <c r="K73" s="19">
        <v>0.09</v>
      </c>
      <c r="L73" s="19">
        <v>11.2</v>
      </c>
      <c r="M73" s="19">
        <v>8.4</v>
      </c>
      <c r="N73" s="19">
        <v>0.52</v>
      </c>
      <c r="O73" s="19">
        <v>7.33</v>
      </c>
      <c r="P73" s="19">
        <v>0.43</v>
      </c>
      <c r="Q73" s="19">
        <v>4.13</v>
      </c>
      <c r="R73" s="19">
        <v>2.64</v>
      </c>
      <c r="S73" s="19">
        <f t="shared" si="167"/>
        <v>99.881800000000013</v>
      </c>
      <c r="U73" s="75"/>
      <c r="V73" s="75"/>
      <c r="W73" s="19"/>
      <c r="X73" s="19"/>
      <c r="Y73" s="19"/>
      <c r="Z73" s="19"/>
      <c r="AA73" s="19"/>
      <c r="AB73" s="22"/>
      <c r="AC73" s="22"/>
      <c r="AF73" s="19">
        <f t="shared" si="122"/>
        <v>0.76514212390420322</v>
      </c>
      <c r="AG73" s="20">
        <f t="shared" si="123"/>
        <v>5575.35</v>
      </c>
      <c r="AH73" s="20">
        <f>N73*8302</f>
        <v>4317.04</v>
      </c>
      <c r="AI73" s="20">
        <f>O73*4364</f>
        <v>31988.12</v>
      </c>
      <c r="AJ73" s="19">
        <f t="shared" si="126"/>
        <v>7.85</v>
      </c>
      <c r="AK73" s="19">
        <f t="shared" si="127"/>
        <v>14.096153846153845</v>
      </c>
      <c r="AL73" s="19">
        <f t="shared" si="128"/>
        <v>7.0941336971350619E-2</v>
      </c>
      <c r="AM73" s="19">
        <f t="shared" si="129"/>
        <v>0.72413793103448276</v>
      </c>
      <c r="AN73" s="19">
        <f t="shared" si="130"/>
        <v>0.63189655172413794</v>
      </c>
      <c r="AO73" s="19">
        <f t="shared" si="131"/>
        <v>0.75769435164216614</v>
      </c>
      <c r="AP73" s="19">
        <f t="shared" si="132"/>
        <v>1.3197933940416475</v>
      </c>
      <c r="AQ73" s="19">
        <f t="shared" si="133"/>
        <v>0.48209921808404782</v>
      </c>
      <c r="AR73" s="20">
        <f t="shared" si="134"/>
        <v>911.73968707217807</v>
      </c>
      <c r="AS73" s="20">
        <f t="shared" si="135"/>
        <v>1806.5246265084384</v>
      </c>
      <c r="AT73" s="19"/>
      <c r="AU73" s="19">
        <f t="shared" si="136"/>
        <v>0.16434977578475335</v>
      </c>
      <c r="AV73" s="19">
        <f t="shared" si="137"/>
        <v>0.68395087488103079</v>
      </c>
      <c r="AW73" s="19"/>
      <c r="AX73" s="20">
        <v>515</v>
      </c>
      <c r="AY73" s="20">
        <v>808</v>
      </c>
      <c r="AZ73" s="20">
        <v>807</v>
      </c>
      <c r="BA73" s="22"/>
      <c r="BB73" s="22"/>
      <c r="BC73" s="22">
        <v>159</v>
      </c>
      <c r="BD73" s="22">
        <v>837</v>
      </c>
      <c r="BE73" s="22">
        <v>44</v>
      </c>
      <c r="BF73" s="22">
        <v>146</v>
      </c>
      <c r="BG73" s="22">
        <v>37</v>
      </c>
      <c r="BH73" s="22">
        <v>96</v>
      </c>
      <c r="BI73" s="36">
        <v>48</v>
      </c>
      <c r="BJ73" s="20">
        <v>384</v>
      </c>
      <c r="BK73" s="20">
        <v>15</v>
      </c>
      <c r="BL73" s="22"/>
      <c r="BM73" s="22"/>
      <c r="BN73" s="20">
        <v>97</v>
      </c>
      <c r="BO73" s="20">
        <v>210</v>
      </c>
      <c r="BP73" s="20"/>
      <c r="BQ73" s="22"/>
      <c r="BR73" s="22"/>
      <c r="BS73" s="22"/>
      <c r="BT73" s="22"/>
      <c r="BU73" s="22"/>
      <c r="BV73" s="22"/>
      <c r="BW73" s="19"/>
      <c r="BX73" s="19"/>
      <c r="BY73" s="19"/>
      <c r="BZ73" s="22"/>
      <c r="CA73" s="19"/>
      <c r="CB73" s="20"/>
      <c r="CC73" s="20">
        <v>42</v>
      </c>
      <c r="CD73" s="22"/>
      <c r="CE73" s="22">
        <v>11</v>
      </c>
      <c r="CG73" s="22">
        <f t="shared" si="138"/>
        <v>400.82644628099177</v>
      </c>
      <c r="CH73" s="22">
        <f t="shared" si="139"/>
        <v>330.70866141732284</v>
      </c>
      <c r="CI73" s="22"/>
      <c r="CJ73" s="22"/>
      <c r="CK73" s="22"/>
      <c r="CL73" s="22"/>
      <c r="CM73" s="22"/>
      <c r="CN73" s="22"/>
      <c r="CO73" s="22"/>
      <c r="CP73" s="22"/>
      <c r="CQ73" s="22"/>
      <c r="CR73" s="22"/>
      <c r="CS73" s="22"/>
      <c r="CT73" s="22"/>
      <c r="CU73" s="22">
        <f t="shared" si="140"/>
        <v>53.8</v>
      </c>
      <c r="CV73" s="22">
        <f t="shared" si="141"/>
        <v>8.31958762886598</v>
      </c>
      <c r="CW73" s="22">
        <f t="shared" si="142"/>
        <v>6.4666666666666668</v>
      </c>
      <c r="CX73" s="20">
        <f t="shared" si="143"/>
        <v>371.69</v>
      </c>
      <c r="CY73" s="22"/>
      <c r="CZ73" s="22"/>
      <c r="DA73" s="22"/>
      <c r="DB73" s="22">
        <f t="shared" si="144"/>
        <v>25.6</v>
      </c>
      <c r="DC73" s="22">
        <f t="shared" si="145"/>
        <v>19.214285714285715</v>
      </c>
      <c r="DD73" s="22"/>
      <c r="DE73" s="22"/>
      <c r="DF73" s="22"/>
      <c r="DG73" s="19">
        <f t="shared" si="146"/>
        <v>0.3125</v>
      </c>
      <c r="DH73" s="20">
        <f t="shared" si="147"/>
        <v>44.505567010309278</v>
      </c>
      <c r="DI73" s="19"/>
      <c r="DJ73" s="22"/>
      <c r="DK73" s="22"/>
      <c r="DL73" s="22"/>
      <c r="DM73" s="22"/>
      <c r="DN73" s="76"/>
      <c r="DO73" s="22"/>
      <c r="DP73" s="20"/>
      <c r="DQ73" s="22"/>
      <c r="DR73" s="22"/>
      <c r="DS73" s="19"/>
      <c r="DT73" s="23">
        <f t="shared" si="148"/>
        <v>1.2376237623762376E-3</v>
      </c>
      <c r="DU73" s="22">
        <f t="shared" si="149"/>
        <v>8</v>
      </c>
      <c r="DV73" s="22"/>
      <c r="DW73" s="22">
        <f t="shared" si="150"/>
        <v>-0.49908275334443752</v>
      </c>
      <c r="DX73" s="22">
        <f t="shared" si="151"/>
        <v>3.90625</v>
      </c>
      <c r="DY73" s="22">
        <f t="shared" si="152"/>
        <v>10.9375</v>
      </c>
      <c r="DZ73" s="19">
        <f t="shared" si="153"/>
        <v>1.1165115059488051</v>
      </c>
      <c r="EA73" s="23"/>
      <c r="EB73" s="19">
        <f t="shared" si="154"/>
        <v>2.8</v>
      </c>
      <c r="EC73" s="19"/>
      <c r="ED73" s="19"/>
      <c r="EE73" s="19">
        <f t="shared" si="155"/>
        <v>47.899406949495116</v>
      </c>
      <c r="EF73" s="19">
        <f t="shared" si="156"/>
        <v>0.99879929289305958</v>
      </c>
      <c r="EG73" s="19">
        <f t="shared" si="157"/>
        <v>12.458141717805905</v>
      </c>
      <c r="EH73" s="19">
        <f t="shared" si="158"/>
        <v>8.6044948116135647</v>
      </c>
      <c r="EI73" s="19">
        <f t="shared" si="159"/>
        <v>9.6657996086425113E-2</v>
      </c>
      <c r="EJ73" s="19">
        <f t="shared" si="160"/>
        <v>12.02855062408846</v>
      </c>
      <c r="EK73" s="19">
        <f t="shared" si="161"/>
        <v>9.0214129680663451</v>
      </c>
      <c r="EL73" s="19">
        <f t="shared" si="162"/>
        <v>0.55846842183267842</v>
      </c>
      <c r="EM73" s="19">
        <f t="shared" si="163"/>
        <v>7.8722567923721796</v>
      </c>
      <c r="EN73" s="19">
        <f t="shared" si="164"/>
        <v>0.46181042574625336</v>
      </c>
      <c r="EO73" s="19">
        <f t="shared" si="165"/>
        <v>99.999999999999972</v>
      </c>
    </row>
    <row r="74" spans="1:145" s="36" customFormat="1">
      <c r="A74" s="36" t="s">
        <v>170</v>
      </c>
      <c r="B74" s="36">
        <v>5</v>
      </c>
      <c r="C74" s="36" t="s">
        <v>210</v>
      </c>
      <c r="D74" s="36" t="s">
        <v>209</v>
      </c>
      <c r="E74" s="36" t="s">
        <v>63</v>
      </c>
      <c r="G74" s="19">
        <v>44</v>
      </c>
      <c r="H74" s="19">
        <v>0.81</v>
      </c>
      <c r="I74" s="19">
        <v>10.199999999999999</v>
      </c>
      <c r="J74" s="19">
        <v>7.5707000000000004</v>
      </c>
      <c r="K74" s="19">
        <v>0.14000000000000001</v>
      </c>
      <c r="L74" s="19">
        <v>10.8</v>
      </c>
      <c r="M74" s="19">
        <v>9.8000000000000007</v>
      </c>
      <c r="N74" s="19">
        <v>0.34</v>
      </c>
      <c r="O74" s="19">
        <v>5.96</v>
      </c>
      <c r="P74" s="19">
        <v>0.4</v>
      </c>
      <c r="Q74" s="19">
        <v>5.13</v>
      </c>
      <c r="R74" s="19">
        <v>4.7</v>
      </c>
      <c r="S74" s="19">
        <f t="shared" si="167"/>
        <v>99.850700000000003</v>
      </c>
      <c r="U74" s="75"/>
      <c r="V74" s="75"/>
      <c r="W74" s="19"/>
      <c r="X74" s="19"/>
      <c r="Y74" s="19"/>
      <c r="Z74" s="19"/>
      <c r="AA74" s="19"/>
      <c r="AB74" s="22"/>
      <c r="AC74" s="22"/>
      <c r="AF74" s="19">
        <f t="shared" si="122"/>
        <v>0.76876366790282546</v>
      </c>
      <c r="AG74" s="20">
        <f t="shared" si="123"/>
        <v>4855.9500000000007</v>
      </c>
      <c r="AH74" s="20">
        <f>N74*8302</f>
        <v>2822.6800000000003</v>
      </c>
      <c r="AI74" s="20">
        <f>O74*4364</f>
        <v>26009.439999999999</v>
      </c>
      <c r="AJ74" s="19">
        <f t="shared" si="126"/>
        <v>6.3</v>
      </c>
      <c r="AK74" s="19">
        <f t="shared" si="127"/>
        <v>17.52941176470588</v>
      </c>
      <c r="AL74" s="19">
        <f t="shared" si="128"/>
        <v>5.704697986577182E-2</v>
      </c>
      <c r="AM74" s="19">
        <f t="shared" si="129"/>
        <v>0.96078431372549045</v>
      </c>
      <c r="AN74" s="19">
        <f t="shared" si="130"/>
        <v>0.58431372549019611</v>
      </c>
      <c r="AO74" s="19">
        <f t="shared" si="131"/>
        <v>0.6872831674027724</v>
      </c>
      <c r="AP74" s="19">
        <f t="shared" si="132"/>
        <v>1.4550043525421661</v>
      </c>
      <c r="AQ74" s="19">
        <f t="shared" si="133"/>
        <v>0.41082922194529542</v>
      </c>
      <c r="AR74" s="20">
        <f t="shared" si="134"/>
        <v>1340.684310986381</v>
      </c>
      <c r="AS74" s="20">
        <f t="shared" si="135"/>
        <v>1982.3893291494919</v>
      </c>
      <c r="AT74" s="19"/>
      <c r="AU74" s="19">
        <f t="shared" si="136"/>
        <v>0.13545454545454547</v>
      </c>
      <c r="AV74" s="19">
        <f t="shared" si="137"/>
        <v>0.6324482744265435</v>
      </c>
      <c r="AW74" s="19"/>
      <c r="AX74" s="20">
        <v>495</v>
      </c>
      <c r="AY74" s="20">
        <v>665</v>
      </c>
      <c r="AZ74" s="20">
        <v>789</v>
      </c>
      <c r="BA74" s="22"/>
      <c r="BB74" s="22"/>
      <c r="BC74" s="22">
        <v>164</v>
      </c>
      <c r="BD74" s="22">
        <v>841</v>
      </c>
      <c r="BE74" s="22">
        <v>36</v>
      </c>
      <c r="BF74" s="22">
        <v>145</v>
      </c>
      <c r="BG74" s="22">
        <v>33</v>
      </c>
      <c r="BH74" s="22">
        <v>97</v>
      </c>
      <c r="BI74" s="36">
        <v>41</v>
      </c>
      <c r="BJ74" s="20">
        <v>374</v>
      </c>
      <c r="BK74" s="20">
        <v>16</v>
      </c>
      <c r="BL74" s="22"/>
      <c r="BM74" s="22"/>
      <c r="BN74" s="20">
        <v>86</v>
      </c>
      <c r="BO74" s="20">
        <v>175</v>
      </c>
      <c r="BP74" s="20"/>
      <c r="BQ74" s="22"/>
      <c r="BR74" s="22"/>
      <c r="BS74" s="22"/>
      <c r="BT74" s="22"/>
      <c r="BU74" s="22"/>
      <c r="BV74" s="22"/>
      <c r="BW74" s="19"/>
      <c r="BX74" s="19"/>
      <c r="BY74" s="19"/>
      <c r="BZ74" s="22"/>
      <c r="CA74" s="19"/>
      <c r="CB74" s="20"/>
      <c r="CC74" s="20">
        <v>37</v>
      </c>
      <c r="CD74" s="22"/>
      <c r="CE74" s="22">
        <v>16</v>
      </c>
      <c r="CG74" s="22">
        <f t="shared" si="138"/>
        <v>355.37190082644628</v>
      </c>
      <c r="CH74" s="22">
        <f t="shared" si="139"/>
        <v>275.59055118110234</v>
      </c>
      <c r="CI74" s="22"/>
      <c r="CJ74" s="22"/>
      <c r="CK74" s="22"/>
      <c r="CL74" s="22"/>
      <c r="CM74" s="22"/>
      <c r="CN74" s="22"/>
      <c r="CO74" s="22"/>
      <c r="CP74" s="22"/>
      <c r="CQ74" s="22"/>
      <c r="CR74" s="22"/>
      <c r="CS74" s="22"/>
      <c r="CT74" s="22"/>
      <c r="CU74" s="22">
        <f t="shared" si="140"/>
        <v>49.3125</v>
      </c>
      <c r="CV74" s="22">
        <f t="shared" si="141"/>
        <v>9.1744186046511622</v>
      </c>
      <c r="CW74" s="22">
        <f t="shared" si="142"/>
        <v>5.375</v>
      </c>
      <c r="CX74" s="20">
        <f t="shared" si="143"/>
        <v>303.49687500000005</v>
      </c>
      <c r="CY74" s="22"/>
      <c r="CZ74" s="22"/>
      <c r="DA74" s="22"/>
      <c r="DB74" s="22">
        <f t="shared" si="144"/>
        <v>23.375</v>
      </c>
      <c r="DC74" s="22">
        <f t="shared" si="145"/>
        <v>21.324324324324323</v>
      </c>
      <c r="DD74" s="22"/>
      <c r="DE74" s="22"/>
      <c r="DF74" s="22"/>
      <c r="DG74" s="19">
        <f t="shared" si="146"/>
        <v>0.3902439024390244</v>
      </c>
      <c r="DH74" s="20">
        <f t="shared" si="147"/>
        <v>32.821860465116281</v>
      </c>
      <c r="DI74" s="19"/>
      <c r="DJ74" s="22"/>
      <c r="DK74" s="22"/>
      <c r="DL74" s="22"/>
      <c r="DM74" s="22"/>
      <c r="DN74" s="76"/>
      <c r="DO74" s="22"/>
      <c r="DP74" s="20"/>
      <c r="DQ74" s="22"/>
      <c r="DR74" s="22"/>
      <c r="DS74" s="19"/>
      <c r="DT74" s="23">
        <f t="shared" si="148"/>
        <v>1.5037593984962407E-3</v>
      </c>
      <c r="DU74" s="22">
        <f t="shared" si="149"/>
        <v>9.1219512195121943</v>
      </c>
      <c r="DV74" s="22"/>
      <c r="DW74" s="22">
        <f t="shared" si="150"/>
        <v>-0.51203234538684028</v>
      </c>
      <c r="DX74" s="22">
        <f t="shared" si="151"/>
        <v>4.2780748663101607</v>
      </c>
      <c r="DY74" s="22">
        <f t="shared" si="152"/>
        <v>9.8930481283422456</v>
      </c>
      <c r="DZ74" s="19">
        <f t="shared" si="153"/>
        <v>1.6370503789976258</v>
      </c>
      <c r="EA74" s="23"/>
      <c r="EB74" s="19">
        <f t="shared" si="154"/>
        <v>2.3125</v>
      </c>
      <c r="EC74" s="19"/>
      <c r="ED74" s="19"/>
      <c r="EE74" s="19">
        <f t="shared" si="155"/>
        <v>48.877647030071969</v>
      </c>
      <c r="EF74" s="19">
        <f t="shared" si="156"/>
        <v>0.89979304759905221</v>
      </c>
      <c r="EG74" s="19">
        <f t="shared" si="157"/>
        <v>11.330727266062137</v>
      </c>
      <c r="EH74" s="19">
        <f t="shared" si="158"/>
        <v>8.4099545993310425</v>
      </c>
      <c r="EI74" s="19">
        <f t="shared" si="159"/>
        <v>0.15551978600477448</v>
      </c>
      <c r="EJ74" s="19">
        <f t="shared" si="160"/>
        <v>11.997240634654029</v>
      </c>
      <c r="EK74" s="19">
        <f t="shared" si="161"/>
        <v>10.886385020334213</v>
      </c>
      <c r="EL74" s="19">
        <f t="shared" si="162"/>
        <v>0.37769090886873796</v>
      </c>
      <c r="EM74" s="19">
        <f t="shared" si="163"/>
        <v>6.6206994613461125</v>
      </c>
      <c r="EN74" s="19">
        <f t="shared" si="164"/>
        <v>0.44434224572792702</v>
      </c>
      <c r="EO74" s="19">
        <f t="shared" si="165"/>
        <v>100</v>
      </c>
    </row>
    <row r="75" spans="1:145" s="36" customFormat="1">
      <c r="A75" s="36" t="s">
        <v>170</v>
      </c>
      <c r="B75" s="36">
        <v>5</v>
      </c>
      <c r="C75" s="36" t="s">
        <v>163</v>
      </c>
      <c r="D75" s="36" t="s">
        <v>209</v>
      </c>
      <c r="G75" s="19">
        <v>41.2</v>
      </c>
      <c r="H75" s="19">
        <v>0.76</v>
      </c>
      <c r="I75" s="19">
        <v>11.9</v>
      </c>
      <c r="J75" s="19">
        <v>7.2314000000000007</v>
      </c>
      <c r="K75" s="19">
        <v>0.09</v>
      </c>
      <c r="L75" s="19">
        <v>11.9</v>
      </c>
      <c r="M75" s="19">
        <v>15.2</v>
      </c>
      <c r="N75" s="19">
        <v>0.98</v>
      </c>
      <c r="O75" s="19">
        <v>7.58</v>
      </c>
      <c r="P75" s="19">
        <v>0.47</v>
      </c>
      <c r="Q75" s="19">
        <v>1.43</v>
      </c>
      <c r="R75" s="19">
        <v>1.03</v>
      </c>
      <c r="S75" s="19">
        <f t="shared" si="167"/>
        <v>99.771400000000014</v>
      </c>
      <c r="U75" s="75"/>
      <c r="V75" s="75"/>
      <c r="W75" s="19"/>
      <c r="X75" s="19"/>
      <c r="Y75" s="19"/>
      <c r="Z75" s="19"/>
      <c r="AA75" s="19"/>
      <c r="AB75" s="22"/>
      <c r="AC75" s="22"/>
      <c r="AF75" s="19">
        <f t="shared" si="122"/>
        <v>0.79317789041477038</v>
      </c>
      <c r="AG75" s="20">
        <f t="shared" si="123"/>
        <v>4556.2</v>
      </c>
      <c r="AH75" s="20">
        <f>O75*8302</f>
        <v>62929.16</v>
      </c>
      <c r="AI75" s="20">
        <f>P75*4364</f>
        <v>2051.08</v>
      </c>
      <c r="AJ75" s="19">
        <f t="shared" si="126"/>
        <v>8.56</v>
      </c>
      <c r="AK75" s="19">
        <f t="shared" si="127"/>
        <v>7.7346938775510203</v>
      </c>
      <c r="AL75" s="19">
        <f t="shared" si="128"/>
        <v>0.12928759894459102</v>
      </c>
      <c r="AM75" s="19">
        <f t="shared" si="129"/>
        <v>1.2773109243697478</v>
      </c>
      <c r="AN75" s="19">
        <f t="shared" si="130"/>
        <v>0.63697478991596634</v>
      </c>
      <c r="AO75" s="19">
        <f t="shared" si="131"/>
        <v>0.82492188923959953</v>
      </c>
      <c r="AP75" s="19">
        <f t="shared" si="132"/>
        <v>1.2122359862723304</v>
      </c>
      <c r="AQ75" s="19">
        <f t="shared" si="133"/>
        <v>0.31774047739499967</v>
      </c>
      <c r="AR75" s="20">
        <f t="shared" si="134"/>
        <v>436.44659285099664</v>
      </c>
      <c r="AS75" s="20">
        <f t="shared" si="135"/>
        <v>2517.9411753762579</v>
      </c>
      <c r="AT75" s="19"/>
      <c r="AU75" s="19">
        <f t="shared" si="136"/>
        <v>0.18398058252427182</v>
      </c>
      <c r="AV75" s="19">
        <f t="shared" si="137"/>
        <v>0.68944744776891642</v>
      </c>
      <c r="AW75" s="19"/>
      <c r="AX75" s="20">
        <v>452</v>
      </c>
      <c r="AY75" s="20">
        <v>1720</v>
      </c>
      <c r="AZ75" s="20">
        <v>725</v>
      </c>
      <c r="BA75" s="22"/>
      <c r="BB75" s="22"/>
      <c r="BC75" s="22"/>
      <c r="BD75" s="22"/>
      <c r="BE75" s="22"/>
      <c r="BF75" s="22"/>
      <c r="BG75" s="22"/>
      <c r="BH75" s="22"/>
      <c r="BI75" s="36">
        <v>29</v>
      </c>
      <c r="BJ75" s="20">
        <v>345</v>
      </c>
      <c r="BK75" s="20">
        <v>14</v>
      </c>
      <c r="BL75" s="22"/>
      <c r="BM75" s="22"/>
      <c r="BN75" s="20"/>
      <c r="BO75" s="20"/>
      <c r="BP75" s="20"/>
      <c r="BQ75" s="22"/>
      <c r="BR75" s="22"/>
      <c r="BS75" s="22"/>
      <c r="BT75" s="22"/>
      <c r="BU75" s="22"/>
      <c r="BV75" s="22"/>
      <c r="BW75" s="19"/>
      <c r="BX75" s="19"/>
      <c r="BY75" s="19"/>
      <c r="BZ75" s="22"/>
      <c r="CA75" s="19"/>
      <c r="CB75" s="20"/>
      <c r="CC75" s="20"/>
      <c r="CD75" s="22"/>
      <c r="CE75" s="22"/>
      <c r="CG75" s="22">
        <f t="shared" si="138"/>
        <v>0</v>
      </c>
      <c r="CH75" s="22">
        <f t="shared" si="139"/>
        <v>0</v>
      </c>
      <c r="CI75" s="22"/>
      <c r="CJ75" s="22"/>
      <c r="CK75" s="22"/>
      <c r="CL75" s="22"/>
      <c r="CM75" s="22"/>
      <c r="CN75" s="22"/>
      <c r="CO75" s="22"/>
      <c r="CP75" s="22"/>
      <c r="CQ75" s="22"/>
      <c r="CR75" s="22"/>
      <c r="CS75" s="22"/>
      <c r="CT75" s="22"/>
      <c r="CU75" s="22">
        <f t="shared" si="140"/>
        <v>51.785714285714285</v>
      </c>
      <c r="CV75" s="22"/>
      <c r="CW75" s="22"/>
      <c r="CX75" s="20">
        <f t="shared" si="143"/>
        <v>325.44285714285712</v>
      </c>
      <c r="CY75" s="22"/>
      <c r="CZ75" s="22"/>
      <c r="DA75" s="22"/>
      <c r="DB75" s="22">
        <f t="shared" si="144"/>
        <v>24.642857142857142</v>
      </c>
      <c r="DC75" s="22"/>
      <c r="DD75" s="22"/>
      <c r="DE75" s="22"/>
      <c r="DF75" s="22"/>
      <c r="DG75" s="19">
        <f t="shared" si="146"/>
        <v>0.48275862068965519</v>
      </c>
      <c r="DH75" s="20"/>
      <c r="DI75" s="19"/>
      <c r="DJ75" s="22"/>
      <c r="DK75" s="22"/>
      <c r="DL75" s="22"/>
      <c r="DM75" s="22"/>
      <c r="DN75" s="76"/>
      <c r="DO75" s="22"/>
      <c r="DP75" s="20"/>
      <c r="DQ75" s="22"/>
      <c r="DR75" s="22"/>
      <c r="DS75" s="19"/>
      <c r="DT75" s="23">
        <f t="shared" si="148"/>
        <v>5.8139534883720929E-4</v>
      </c>
      <c r="DU75" s="22">
        <f t="shared" si="149"/>
        <v>11.896551724137931</v>
      </c>
      <c r="DV75" s="22"/>
      <c r="DW75" s="22">
        <f t="shared" si="150"/>
        <v>-0.64107846879540897</v>
      </c>
      <c r="DX75" s="22">
        <f t="shared" si="151"/>
        <v>4.0579710144927539</v>
      </c>
      <c r="DY75" s="22"/>
      <c r="DZ75" s="19">
        <f t="shared" si="153"/>
        <v>0.9081371044220492</v>
      </c>
      <c r="EA75" s="23"/>
      <c r="EB75" s="19">
        <f t="shared" si="154"/>
        <v>0</v>
      </c>
      <c r="EC75" s="19"/>
      <c r="ED75" s="19"/>
      <c r="EE75" s="19">
        <f t="shared" si="155"/>
        <v>42.338307741950068</v>
      </c>
      <c r="EF75" s="19">
        <f t="shared" si="156"/>
        <v>0.78099790980296235</v>
      </c>
      <c r="EG75" s="19">
        <f t="shared" si="157"/>
        <v>12.228783061388491</v>
      </c>
      <c r="EH75" s="19">
        <f t="shared" si="158"/>
        <v>7.431195111775188</v>
      </c>
      <c r="EI75" s="19">
        <f t="shared" si="159"/>
        <v>9.248659458192976E-2</v>
      </c>
      <c r="EJ75" s="19">
        <f t="shared" si="160"/>
        <v>12.228783061388491</v>
      </c>
      <c r="EK75" s="19">
        <f t="shared" si="161"/>
        <v>15.619958196059248</v>
      </c>
      <c r="EL75" s="19">
        <f t="shared" si="162"/>
        <v>1.0070762521143461</v>
      </c>
      <c r="EM75" s="19">
        <f t="shared" si="163"/>
        <v>7.7894265214558622</v>
      </c>
      <c r="EN75" s="19">
        <f t="shared" si="164"/>
        <v>0.48298554948341094</v>
      </c>
      <c r="EO75" s="19">
        <f t="shared" si="165"/>
        <v>100</v>
      </c>
    </row>
    <row r="76" spans="1:145" s="36" customFormat="1">
      <c r="A76" s="36" t="s">
        <v>170</v>
      </c>
      <c r="B76" s="36">
        <v>5</v>
      </c>
      <c r="C76" s="36" t="s">
        <v>163</v>
      </c>
      <c r="D76" s="36" t="s">
        <v>186</v>
      </c>
      <c r="E76" s="36" t="s">
        <v>208</v>
      </c>
      <c r="G76" s="19">
        <v>42</v>
      </c>
      <c r="H76" s="19">
        <v>0.77</v>
      </c>
      <c r="I76" s="19">
        <v>10.5</v>
      </c>
      <c r="J76" s="19">
        <v>7.5170000000000003</v>
      </c>
      <c r="K76" s="19">
        <v>0.13</v>
      </c>
      <c r="L76" s="19">
        <v>13</v>
      </c>
      <c r="M76" s="19">
        <v>15.8</v>
      </c>
      <c r="N76" s="19">
        <v>1</v>
      </c>
      <c r="O76" s="19">
        <v>8.3000000000000007</v>
      </c>
      <c r="P76" s="19">
        <v>0.42</v>
      </c>
      <c r="Q76" s="19"/>
      <c r="R76" s="19"/>
      <c r="S76" s="19">
        <f>SUM(G76:Q76)</f>
        <v>99.436999999999998</v>
      </c>
      <c r="U76" s="75"/>
      <c r="V76" s="75"/>
      <c r="W76" s="19"/>
      <c r="X76" s="19"/>
      <c r="Y76" s="19"/>
      <c r="Z76" s="19"/>
      <c r="AA76" s="19"/>
      <c r="AB76" s="22"/>
      <c r="AC76" s="22"/>
      <c r="AF76" s="19">
        <f t="shared" si="122"/>
        <v>0.80120854566088762</v>
      </c>
      <c r="AG76" s="20">
        <f t="shared" si="123"/>
        <v>4616.1500000000005</v>
      </c>
      <c r="AH76" s="20">
        <f>O76*8302</f>
        <v>68906.600000000006</v>
      </c>
      <c r="AI76" s="20">
        <f>P76*4364</f>
        <v>1832.8799999999999</v>
      </c>
      <c r="AJ76" s="19">
        <f t="shared" si="126"/>
        <v>9.3000000000000007</v>
      </c>
      <c r="AK76" s="19">
        <f t="shared" si="127"/>
        <v>8.3000000000000007</v>
      </c>
      <c r="AL76" s="19">
        <f t="shared" si="128"/>
        <v>0.12048192771084336</v>
      </c>
      <c r="AM76" s="19">
        <f t="shared" si="129"/>
        <v>1.5047619047619047</v>
      </c>
      <c r="AN76" s="19">
        <f t="shared" si="130"/>
        <v>0.79047619047619055</v>
      </c>
      <c r="AO76" s="19">
        <f t="shared" si="131"/>
        <v>1.0122650971093146</v>
      </c>
      <c r="AP76" s="19">
        <f t="shared" si="132"/>
        <v>0.98788351278302544</v>
      </c>
      <c r="AQ76" s="19">
        <f t="shared" si="133"/>
        <v>0.26680197008370915</v>
      </c>
      <c r="AR76" s="20">
        <f t="shared" si="134"/>
        <v>296.99046501195357</v>
      </c>
      <c r="AS76" s="20">
        <f t="shared" si="135"/>
        <v>2555.9566745860493</v>
      </c>
      <c r="AT76" s="19"/>
      <c r="AU76" s="19">
        <f t="shared" si="136"/>
        <v>0.19761904761904764</v>
      </c>
      <c r="AV76" s="19">
        <f t="shared" si="137"/>
        <v>0.85559397432008899</v>
      </c>
      <c r="AW76" s="19"/>
      <c r="AX76" s="20">
        <v>444</v>
      </c>
      <c r="AY76" s="20">
        <v>1709</v>
      </c>
      <c r="AZ76" s="20">
        <v>700</v>
      </c>
      <c r="BA76" s="22"/>
      <c r="BB76" s="22"/>
      <c r="BC76" s="22"/>
      <c r="BD76" s="22">
        <v>923</v>
      </c>
      <c r="BE76" s="22">
        <v>31</v>
      </c>
      <c r="BF76" s="22">
        <v>104</v>
      </c>
      <c r="BG76" s="22"/>
      <c r="BH76" s="22"/>
      <c r="BJ76" s="20">
        <v>335</v>
      </c>
      <c r="BK76" s="20"/>
      <c r="BL76" s="22"/>
      <c r="BM76" s="22"/>
      <c r="BN76" s="20"/>
      <c r="BO76" s="20"/>
      <c r="BP76" s="20"/>
      <c r="BQ76" s="22"/>
      <c r="BR76" s="22"/>
      <c r="BS76" s="22"/>
      <c r="BT76" s="22"/>
      <c r="BU76" s="22"/>
      <c r="BV76" s="22"/>
      <c r="BW76" s="19"/>
      <c r="BX76" s="19"/>
      <c r="BY76" s="19"/>
      <c r="BZ76" s="22"/>
      <c r="CA76" s="19"/>
      <c r="CB76" s="20"/>
      <c r="CC76" s="20"/>
      <c r="CD76" s="22"/>
      <c r="CE76" s="22"/>
      <c r="CG76" s="22">
        <f t="shared" si="138"/>
        <v>0</v>
      </c>
      <c r="CH76" s="22">
        <f t="shared" si="139"/>
        <v>0</v>
      </c>
      <c r="CI76" s="22"/>
      <c r="CJ76" s="22"/>
      <c r="CK76" s="22"/>
      <c r="CL76" s="22"/>
      <c r="CM76" s="22"/>
      <c r="CN76" s="22"/>
      <c r="CO76" s="22"/>
      <c r="CP76" s="22"/>
      <c r="CQ76" s="22"/>
      <c r="CR76" s="22"/>
      <c r="CS76" s="22"/>
      <c r="CT76" s="22"/>
      <c r="CU76" s="22"/>
      <c r="CV76" s="22"/>
      <c r="CW76" s="22"/>
      <c r="CX76" s="20"/>
      <c r="CY76" s="22"/>
      <c r="CZ76" s="22"/>
      <c r="DA76" s="22"/>
      <c r="DB76" s="22"/>
      <c r="DC76" s="22"/>
      <c r="DD76" s="22"/>
      <c r="DE76" s="22"/>
      <c r="DF76" s="22"/>
      <c r="DG76" s="19"/>
      <c r="DH76" s="20"/>
      <c r="DI76" s="19"/>
      <c r="DJ76" s="22"/>
      <c r="DK76" s="22"/>
      <c r="DL76" s="22"/>
      <c r="DM76" s="22"/>
      <c r="DN76" s="76"/>
      <c r="DO76" s="22"/>
      <c r="DP76" s="20"/>
      <c r="DQ76" s="22"/>
      <c r="DR76" s="22"/>
      <c r="DS76" s="19"/>
      <c r="DT76" s="23">
        <f t="shared" si="148"/>
        <v>5.8513750731421885E-4</v>
      </c>
      <c r="DU76" s="22"/>
      <c r="DV76" s="22"/>
      <c r="DW76" s="22"/>
      <c r="DX76" s="22"/>
      <c r="DY76" s="22"/>
      <c r="DZ76" s="19">
        <f t="shared" si="153"/>
        <v>0.92975176398771664</v>
      </c>
      <c r="EA76" s="23"/>
      <c r="EB76" s="19"/>
      <c r="EC76" s="19"/>
      <c r="ED76" s="19"/>
      <c r="EE76" s="19">
        <f t="shared" si="155"/>
        <v>42.237798807285017</v>
      </c>
      <c r="EF76" s="19">
        <f t="shared" si="156"/>
        <v>0.77435964480022523</v>
      </c>
      <c r="EG76" s="19">
        <f t="shared" si="157"/>
        <v>10.559449701821254</v>
      </c>
      <c r="EH76" s="19">
        <f t="shared" si="158"/>
        <v>7.5595603246276539</v>
      </c>
      <c r="EI76" s="19">
        <f t="shared" si="159"/>
        <v>0.13073604392731075</v>
      </c>
      <c r="EJ76" s="19">
        <f t="shared" si="160"/>
        <v>13.073604392731076</v>
      </c>
      <c r="EK76" s="19">
        <f t="shared" si="161"/>
        <v>15.889457646550078</v>
      </c>
      <c r="EL76" s="19">
        <f t="shared" si="162"/>
        <v>1.0056618763639289</v>
      </c>
      <c r="EM76" s="19">
        <f t="shared" si="163"/>
        <v>8.3469935738206118</v>
      </c>
      <c r="EN76" s="19">
        <f t="shared" si="164"/>
        <v>0.42237798807285015</v>
      </c>
      <c r="EO76" s="19">
        <f t="shared" si="165"/>
        <v>100</v>
      </c>
    </row>
    <row r="77" spans="1:145" s="36" customFormat="1">
      <c r="A77" s="36" t="s">
        <v>170</v>
      </c>
      <c r="B77" s="36">
        <v>5</v>
      </c>
      <c r="C77" s="36" t="s">
        <v>169</v>
      </c>
      <c r="D77" s="36" t="s">
        <v>266</v>
      </c>
      <c r="E77" s="36" t="s">
        <v>161</v>
      </c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U77" s="75">
        <v>0.71055699999999999</v>
      </c>
      <c r="V77" s="75">
        <v>0.51207100000000005</v>
      </c>
      <c r="W77" s="19">
        <v>18.742000000000001</v>
      </c>
      <c r="X77" s="19">
        <v>15.662000000000001</v>
      </c>
      <c r="Y77" s="19">
        <v>38.929000000000002</v>
      </c>
      <c r="Z77" s="19">
        <f>Y77/W77</f>
        <v>2.0770995624799915</v>
      </c>
      <c r="AA77" s="19">
        <f>X77/W77</f>
        <v>0.83566321630562379</v>
      </c>
      <c r="AB77" s="22">
        <f>(X77-((0.1084*W77)+13.491))*100</f>
        <v>13.936720000000058</v>
      </c>
      <c r="AC77" s="22">
        <f>(Y77-(1.209*W77+15.627))*100</f>
        <v>64.292199999999866</v>
      </c>
      <c r="AF77" s="19"/>
      <c r="AG77" s="20"/>
      <c r="AH77" s="20"/>
      <c r="AI77" s="20"/>
      <c r="AJ77" s="19"/>
      <c r="AK77" s="19"/>
      <c r="AL77" s="19"/>
      <c r="AM77" s="19"/>
      <c r="AN77" s="19"/>
      <c r="AO77" s="19"/>
      <c r="AP77" s="19"/>
      <c r="AQ77" s="19"/>
      <c r="AR77" s="20"/>
      <c r="AS77" s="20"/>
      <c r="AT77" s="19"/>
      <c r="AU77" s="19"/>
      <c r="AV77" s="19"/>
      <c r="AW77" s="19"/>
      <c r="AX77" s="20"/>
      <c r="AY77" s="20"/>
      <c r="AZ77" s="20"/>
      <c r="BA77" s="22"/>
      <c r="BB77" s="22"/>
      <c r="BC77" s="22"/>
      <c r="BD77" s="22"/>
      <c r="BE77" s="22"/>
      <c r="BF77" s="22"/>
      <c r="BG77" s="22"/>
      <c r="BH77" s="22"/>
      <c r="BJ77" s="20"/>
      <c r="BK77" s="20"/>
      <c r="BL77" s="22"/>
      <c r="BM77" s="22"/>
      <c r="BN77" s="20"/>
      <c r="BO77" s="20"/>
      <c r="BP77" s="20"/>
      <c r="BQ77" s="22"/>
      <c r="BR77" s="22"/>
      <c r="BS77" s="22"/>
      <c r="BT77" s="22"/>
      <c r="BU77" s="22"/>
      <c r="BV77" s="22"/>
      <c r="BW77" s="19"/>
      <c r="BX77" s="19"/>
      <c r="BY77" s="19"/>
      <c r="BZ77" s="22"/>
      <c r="CA77" s="19"/>
      <c r="CB77" s="20"/>
      <c r="CC77" s="20"/>
      <c r="CD77" s="22"/>
      <c r="CE77" s="22"/>
      <c r="CG77" s="22">
        <f t="shared" si="138"/>
        <v>0</v>
      </c>
      <c r="CH77" s="22">
        <f t="shared" si="139"/>
        <v>0</v>
      </c>
      <c r="CI77" s="22"/>
      <c r="CJ77" s="22"/>
      <c r="CK77" s="22"/>
      <c r="CL77" s="22"/>
      <c r="CM77" s="22"/>
      <c r="CN77" s="22"/>
      <c r="CO77" s="22"/>
      <c r="CP77" s="22"/>
      <c r="CQ77" s="22"/>
      <c r="CR77" s="22"/>
      <c r="CS77" s="22"/>
      <c r="CT77" s="22"/>
      <c r="CU77" s="22"/>
      <c r="CV77" s="22"/>
      <c r="CW77" s="22"/>
      <c r="CX77" s="20"/>
      <c r="CY77" s="22"/>
      <c r="CZ77" s="22"/>
      <c r="DA77" s="22"/>
      <c r="DB77" s="22"/>
      <c r="DC77" s="22"/>
      <c r="DD77" s="22"/>
      <c r="DE77" s="22"/>
      <c r="DF77" s="22"/>
      <c r="DG77" s="19"/>
      <c r="DH77" s="20"/>
      <c r="DI77" s="19"/>
      <c r="DJ77" s="22"/>
      <c r="DK77" s="22"/>
      <c r="DL77" s="22"/>
      <c r="DM77" s="22"/>
      <c r="DN77" s="76"/>
      <c r="DO77" s="22"/>
      <c r="DP77" s="20"/>
      <c r="DQ77" s="22"/>
      <c r="DR77" s="22"/>
      <c r="DS77" s="19"/>
      <c r="DT77" s="23"/>
      <c r="DU77" s="22"/>
      <c r="DV77" s="22"/>
      <c r="DW77" s="22"/>
      <c r="DX77" s="22"/>
      <c r="DY77" s="22"/>
      <c r="DZ77" s="19"/>
      <c r="EA77" s="23"/>
      <c r="EB77" s="19"/>
      <c r="EC77" s="19"/>
      <c r="ED77" s="19"/>
      <c r="EE77" s="19"/>
      <c r="EF77" s="19"/>
      <c r="EG77" s="19"/>
      <c r="EH77" s="19"/>
      <c r="EI77" s="19"/>
      <c r="EJ77" s="19"/>
      <c r="EK77" s="19"/>
      <c r="EL77" s="19"/>
      <c r="EM77" s="19"/>
      <c r="EN77" s="19"/>
      <c r="EO77" s="19"/>
    </row>
    <row r="78" spans="1:145" s="36" customFormat="1">
      <c r="A78" s="36" t="s">
        <v>170</v>
      </c>
      <c r="B78" s="36">
        <v>5</v>
      </c>
      <c r="C78" s="36" t="s">
        <v>169</v>
      </c>
      <c r="D78" s="36" t="s">
        <v>266</v>
      </c>
      <c r="E78" s="36" t="s">
        <v>161</v>
      </c>
      <c r="G78" s="19">
        <v>39.799999999999997</v>
      </c>
      <c r="H78" s="19">
        <v>0.65</v>
      </c>
      <c r="I78" s="19">
        <v>11.4</v>
      </c>
      <c r="J78" s="19">
        <v>6.5599000000000007</v>
      </c>
      <c r="K78" s="19">
        <v>0.08</v>
      </c>
      <c r="L78" s="19">
        <v>15</v>
      </c>
      <c r="M78" s="19">
        <v>12.8</v>
      </c>
      <c r="N78" s="19">
        <v>0.57999999999999996</v>
      </c>
      <c r="O78" s="19">
        <v>6.86</v>
      </c>
      <c r="P78" s="19">
        <v>0.43</v>
      </c>
      <c r="Q78" s="19"/>
      <c r="R78" s="19">
        <v>2.64</v>
      </c>
      <c r="S78" s="19">
        <f>SUM(G78:R78)</f>
        <v>96.799899999999994</v>
      </c>
      <c r="U78" s="75">
        <v>0.71055900000000005</v>
      </c>
      <c r="V78" s="75">
        <v>0.51207400000000003</v>
      </c>
      <c r="W78" s="19">
        <v>18.747</v>
      </c>
      <c r="X78" s="19">
        <v>15.667</v>
      </c>
      <c r="Y78" s="19">
        <v>38.951999999999998</v>
      </c>
      <c r="Z78" s="19">
        <f>Y78/W78</f>
        <v>2.0777724435909746</v>
      </c>
      <c r="AA78" s="19">
        <f>X78/W78</f>
        <v>0.8357070464607671</v>
      </c>
      <c r="AB78" s="22">
        <f>(X78-((0.1084*W78)+13.491))*100</f>
        <v>14.382520000000021</v>
      </c>
      <c r="AC78" s="22">
        <f>(Y78-(1.209*W78+15.627))*100</f>
        <v>65.98769999999945</v>
      </c>
      <c r="AF78" s="19">
        <f>(L78/40.31)/((L78/40.31)+(J78-(J78*0.15))*0.8998/71.85)</f>
        <v>0.84199635323862698</v>
      </c>
      <c r="AG78" s="20">
        <f>H78*5995</f>
        <v>3896.75</v>
      </c>
      <c r="AH78" s="20">
        <f>O78*8302</f>
        <v>56951.72</v>
      </c>
      <c r="AI78" s="20">
        <f>P78*4364</f>
        <v>1876.52</v>
      </c>
      <c r="AJ78" s="19">
        <f>N78+O78</f>
        <v>7.44</v>
      </c>
      <c r="AK78" s="19">
        <f>O78/N78</f>
        <v>11.827586206896553</v>
      </c>
      <c r="AL78" s="19">
        <f>N78/O78</f>
        <v>8.4548104956268216E-2</v>
      </c>
      <c r="AM78" s="19">
        <f>EK78/EG78</f>
        <v>1.1228070175438596</v>
      </c>
      <c r="AN78" s="19">
        <f>O78/I78</f>
        <v>0.60175438596491226</v>
      </c>
      <c r="AO78" s="19">
        <f>(EL78/61.98+EM78/94.2)/(EG78/101.96)</f>
        <v>0.73502102318646156</v>
      </c>
      <c r="AP78" s="19">
        <f>1/AO78</f>
        <v>1.3605053031882028</v>
      </c>
      <c r="AQ78" s="19">
        <f>(EG78/101.96)/((EK78/56.08)+(EL78/61.98)+(EM78/94.2))</f>
        <v>0.3601766349373115</v>
      </c>
      <c r="AR78" s="20">
        <f>1000*(4*(EE78/60.08)-11*(EL78/61.98*2+EM78/94.2*2)-2*(EH78/159.69*2+EF78/79.87))</f>
        <v>702.2224435612676</v>
      </c>
      <c r="AS78" s="20">
        <f>1000*(6*(EK78/56.08)+2*(EJ78/40.3)+EG78/101.96*2)</f>
        <v>2482.4858148663948</v>
      </c>
      <c r="AT78" s="19"/>
      <c r="AU78" s="19">
        <f>O78/G78</f>
        <v>0.17236180904522616</v>
      </c>
      <c r="AV78" s="19">
        <f>(O78/94.2)/(I78/101.96)</f>
        <v>0.65132566022274363</v>
      </c>
      <c r="AW78" s="19"/>
      <c r="AX78" s="20">
        <v>412</v>
      </c>
      <c r="AY78" s="20">
        <v>1170</v>
      </c>
      <c r="AZ78" s="20">
        <v>588</v>
      </c>
      <c r="BA78" s="22"/>
      <c r="BB78" s="22"/>
      <c r="BC78" s="22">
        <v>136</v>
      </c>
      <c r="BD78" s="22">
        <v>723</v>
      </c>
      <c r="BE78" s="22">
        <v>35</v>
      </c>
      <c r="BF78" s="22">
        <v>133</v>
      </c>
      <c r="BG78" s="22"/>
      <c r="BH78" s="22"/>
      <c r="BI78" s="36">
        <v>35</v>
      </c>
      <c r="BJ78" s="20">
        <v>327</v>
      </c>
      <c r="BK78" s="20">
        <v>12</v>
      </c>
      <c r="BL78" s="22"/>
      <c r="BM78" s="22"/>
      <c r="BN78" s="20">
        <v>74.8</v>
      </c>
      <c r="BO78" s="20">
        <v>160</v>
      </c>
      <c r="BP78" s="20">
        <v>20.3</v>
      </c>
      <c r="BQ78" s="22">
        <v>84.7</v>
      </c>
      <c r="BR78" s="22">
        <v>17.100000000000001</v>
      </c>
      <c r="BS78" s="22">
        <v>3.33</v>
      </c>
      <c r="BT78" s="22">
        <v>13</v>
      </c>
      <c r="BU78" s="22">
        <v>1.5</v>
      </c>
      <c r="BV78" s="22">
        <v>7.6</v>
      </c>
      <c r="BW78" s="19">
        <v>1.19</v>
      </c>
      <c r="BX78" s="19">
        <v>3.1</v>
      </c>
      <c r="BY78" s="19">
        <v>0.4</v>
      </c>
      <c r="BZ78" s="22">
        <v>2.2000000000000002</v>
      </c>
      <c r="CA78" s="19">
        <v>0.31</v>
      </c>
      <c r="CB78" s="20"/>
      <c r="CC78" s="20">
        <v>32.299999999999997</v>
      </c>
      <c r="CD78" s="22">
        <v>7.5</v>
      </c>
      <c r="CE78" s="22"/>
      <c r="CG78" s="22">
        <f t="shared" si="138"/>
        <v>309.09090909090907</v>
      </c>
      <c r="CH78" s="22">
        <f t="shared" si="139"/>
        <v>251.96850393700788</v>
      </c>
      <c r="CI78" s="22">
        <f>BP78/0.0963</f>
        <v>210.79958463136035</v>
      </c>
      <c r="CJ78" s="22">
        <f>BQ78/0.48</f>
        <v>176.45833333333334</v>
      </c>
      <c r="CK78" s="22">
        <f>BR78/0.156</f>
        <v>109.61538461538463</v>
      </c>
      <c r="CL78" s="22">
        <f>BS78/0.0591</f>
        <v>56.345177664974621</v>
      </c>
      <c r="CM78" s="22">
        <f>BT78/0.212</f>
        <v>61.320754716981135</v>
      </c>
      <c r="CN78" s="22">
        <f>BU78/0.0376</f>
        <v>39.893617021276597</v>
      </c>
      <c r="CO78" s="22">
        <f>BV78/0.259</f>
        <v>29.343629343629342</v>
      </c>
      <c r="CP78" s="22">
        <f>BW78/0.0585</f>
        <v>20.341880341880341</v>
      </c>
      <c r="CQ78" s="22">
        <f>BX78/0.163</f>
        <v>19.018404907975459</v>
      </c>
      <c r="CR78" s="22">
        <f>BY78/0.0256</f>
        <v>15.625</v>
      </c>
      <c r="CS78" s="22">
        <f>BZ78/0.166</f>
        <v>13.253012048192771</v>
      </c>
      <c r="CT78" s="22">
        <f>CA78/0.024</f>
        <v>12.916666666666666</v>
      </c>
      <c r="CU78" s="22">
        <f>AZ78/BK78</f>
        <v>49</v>
      </c>
      <c r="CV78" s="22">
        <f>AZ78/BN78</f>
        <v>7.8609625668449201</v>
      </c>
      <c r="CW78" s="22">
        <f>BN78/BK78</f>
        <v>6.2333333333333334</v>
      </c>
      <c r="CX78" s="20">
        <f>AG78/BK78</f>
        <v>324.72916666666669</v>
      </c>
      <c r="CY78" s="22"/>
      <c r="CZ78" s="22">
        <f>BK78/CD78</f>
        <v>1.6</v>
      </c>
      <c r="DA78" s="22">
        <f>AX78/BR78</f>
        <v>24.093567251461987</v>
      </c>
      <c r="DB78" s="22">
        <f>BJ78/BK78</f>
        <v>27.25</v>
      </c>
      <c r="DC78" s="22">
        <f>AZ78/CC78</f>
        <v>18.204334365325078</v>
      </c>
      <c r="DD78" s="22"/>
      <c r="DE78" s="22"/>
      <c r="DF78" s="22">
        <f>CC78/BZ78</f>
        <v>14.68181818181818</v>
      </c>
      <c r="DG78" s="19">
        <f>BK78/BI78</f>
        <v>0.34285714285714286</v>
      </c>
      <c r="DH78" s="20">
        <f>AH78/BN78</f>
        <v>761.38663101604277</v>
      </c>
      <c r="DI78" s="19">
        <f>(BK78/0.46)/((O78/0.023)*(CD78/0.017))^0.5</f>
        <v>7.1914936864684018E-2</v>
      </c>
      <c r="DJ78" s="22">
        <f>BN78/CA78</f>
        <v>241.29032258064515</v>
      </c>
      <c r="DK78" s="22">
        <f>CG78/CT78</f>
        <v>23.929618768328446</v>
      </c>
      <c r="DL78" s="22">
        <f>CG78/CK78</f>
        <v>2.8197767145135559</v>
      </c>
      <c r="DM78" s="22">
        <f>BN78/BZ78</f>
        <v>33.999999999999993</v>
      </c>
      <c r="DN78" s="76"/>
      <c r="DO78" s="22">
        <f>BR78/BZ78</f>
        <v>7.7727272727272725</v>
      </c>
      <c r="DP78" s="20">
        <f>AY78/BZ78</f>
        <v>531.81818181818176</v>
      </c>
      <c r="DQ78" s="22">
        <f>AY78/BQ78</f>
        <v>13.813459268004722</v>
      </c>
      <c r="DR78" s="22">
        <f>AY78/(((BR78/0.195)*(BT78/0.259))^0.5)</f>
        <v>17.635318927771351</v>
      </c>
      <c r="DS78" s="19">
        <f>(BS78/0.074)/(((BR78/0.195)*(BT78/0.259))^0.5)</f>
        <v>0.67828149722197506</v>
      </c>
      <c r="DT78" s="23">
        <f>1/AY78</f>
        <v>8.547008547008547E-4</v>
      </c>
      <c r="DU78" s="22">
        <f>BJ78/BI78</f>
        <v>9.3428571428571434</v>
      </c>
      <c r="DV78" s="22"/>
      <c r="DW78" s="22">
        <f>1.74+LOG(BK78/BI78)-1.92*LOG(BJ78/BI78)</f>
        <v>-0.58820783825787082</v>
      </c>
      <c r="DX78" s="22">
        <f>BK78*100/BJ78</f>
        <v>3.669724770642202</v>
      </c>
      <c r="DY78" s="22">
        <f>CC78*100/BJ78</f>
        <v>9.8776758409785916</v>
      </c>
      <c r="DZ78" s="19">
        <f>EK78*100/AY78</f>
        <v>1.1618715546820824</v>
      </c>
      <c r="EA78" s="23"/>
      <c r="EB78" s="19">
        <f>CC78/BK78</f>
        <v>2.6916666666666664</v>
      </c>
      <c r="EC78" s="19"/>
      <c r="ED78" s="19"/>
      <c r="EE78" s="19">
        <f t="shared" ref="EE78:EN78" si="168">100*G78/($G78+$H78+$I78+$J78+$K78+$L78+$M78+$N78+$O78+$P78)</f>
        <v>42.268524074473312</v>
      </c>
      <c r="EF78" s="19">
        <f t="shared" si="168"/>
        <v>0.69031509166853411</v>
      </c>
      <c r="EG78" s="19">
        <f t="shared" si="168"/>
        <v>12.107064684648137</v>
      </c>
      <c r="EH78" s="19">
        <f t="shared" si="168"/>
        <v>6.9667661074406428</v>
      </c>
      <c r="EI78" s="19">
        <f t="shared" si="168"/>
        <v>8.4961857436127275E-2</v>
      </c>
      <c r="EJ78" s="19">
        <f t="shared" si="168"/>
        <v>15.930348269273864</v>
      </c>
      <c r="EK78" s="19">
        <f t="shared" si="168"/>
        <v>13.593897189780364</v>
      </c>
      <c r="EL78" s="19">
        <f t="shared" si="168"/>
        <v>0.61597346641192263</v>
      </c>
      <c r="EM78" s="19">
        <f t="shared" si="168"/>
        <v>7.2854792751479138</v>
      </c>
      <c r="EN78" s="19">
        <f t="shared" si="168"/>
        <v>0.4566699837191841</v>
      </c>
      <c r="EO78" s="19">
        <f>SUM(EE78:EN78)</f>
        <v>99.999999999999986</v>
      </c>
    </row>
    <row r="79" spans="1:145" s="36" customFormat="1">
      <c r="A79" s="36" t="s">
        <v>170</v>
      </c>
      <c r="B79" s="36">
        <v>5</v>
      </c>
      <c r="C79" s="36" t="s">
        <v>169</v>
      </c>
      <c r="D79" s="36" t="s">
        <v>178</v>
      </c>
      <c r="E79" s="36" t="s">
        <v>161</v>
      </c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U79" s="75">
        <v>0.71056900000000001</v>
      </c>
      <c r="V79" s="75">
        <v>0.51202999999999999</v>
      </c>
      <c r="W79" s="19"/>
      <c r="X79" s="19"/>
      <c r="Y79" s="19"/>
      <c r="Z79" s="19"/>
      <c r="AA79" s="19"/>
      <c r="AB79" s="22"/>
      <c r="AC79" s="22"/>
      <c r="AF79" s="19"/>
      <c r="AG79" s="20"/>
      <c r="AH79" s="20"/>
      <c r="AI79" s="20"/>
      <c r="AJ79" s="19"/>
      <c r="AK79" s="19"/>
      <c r="AL79" s="19"/>
      <c r="AM79" s="19"/>
      <c r="AN79" s="19"/>
      <c r="AO79" s="19"/>
      <c r="AP79" s="19"/>
      <c r="AQ79" s="19"/>
      <c r="AR79" s="20"/>
      <c r="AS79" s="20"/>
      <c r="AT79" s="19"/>
      <c r="AU79" s="19"/>
      <c r="AV79" s="19"/>
      <c r="AW79" s="19"/>
      <c r="AX79" s="20"/>
      <c r="AY79" s="20"/>
      <c r="AZ79" s="20"/>
      <c r="BA79" s="22"/>
      <c r="BB79" s="22"/>
      <c r="BC79" s="22"/>
      <c r="BD79" s="22"/>
      <c r="BE79" s="22"/>
      <c r="BF79" s="22"/>
      <c r="BG79" s="22"/>
      <c r="BH79" s="22"/>
      <c r="BJ79" s="20"/>
      <c r="BK79" s="20"/>
      <c r="BL79" s="22"/>
      <c r="BM79" s="22"/>
      <c r="BN79" s="20"/>
      <c r="BO79" s="20"/>
      <c r="BP79" s="20"/>
      <c r="BQ79" s="22"/>
      <c r="BR79" s="22"/>
      <c r="BS79" s="22"/>
      <c r="BT79" s="22"/>
      <c r="BU79" s="22"/>
      <c r="BV79" s="22"/>
      <c r="BW79" s="19"/>
      <c r="BX79" s="19"/>
      <c r="BY79" s="19"/>
      <c r="BZ79" s="22"/>
      <c r="CA79" s="19"/>
      <c r="CB79" s="20"/>
      <c r="CC79" s="20"/>
      <c r="CD79" s="22"/>
      <c r="CE79" s="22"/>
      <c r="CG79" s="22"/>
      <c r="CH79" s="22"/>
      <c r="CI79" s="22"/>
      <c r="CJ79" s="22"/>
      <c r="CK79" s="22"/>
      <c r="CL79" s="22"/>
      <c r="CM79" s="22"/>
      <c r="CN79" s="22"/>
      <c r="CO79" s="22"/>
      <c r="CP79" s="22"/>
      <c r="CQ79" s="22"/>
      <c r="CR79" s="22"/>
      <c r="CS79" s="22"/>
      <c r="CT79" s="22"/>
      <c r="CU79" s="22"/>
      <c r="CV79" s="22"/>
      <c r="CW79" s="22"/>
      <c r="CX79" s="20"/>
      <c r="CY79" s="22"/>
      <c r="CZ79" s="22"/>
      <c r="DA79" s="22"/>
      <c r="DB79" s="22"/>
      <c r="DC79" s="22"/>
      <c r="DD79" s="22"/>
      <c r="DE79" s="22"/>
      <c r="DF79" s="22"/>
      <c r="DG79" s="19"/>
      <c r="DH79" s="20"/>
      <c r="DI79" s="19"/>
      <c r="DJ79" s="22"/>
      <c r="DK79" s="22"/>
      <c r="DL79" s="22"/>
      <c r="DM79" s="22"/>
      <c r="DN79" s="76"/>
      <c r="DO79" s="22"/>
      <c r="DP79" s="20"/>
      <c r="DQ79" s="22"/>
      <c r="DR79" s="22"/>
      <c r="DS79" s="19"/>
      <c r="DT79" s="23"/>
      <c r="DU79" s="22"/>
      <c r="DV79" s="22"/>
      <c r="DW79" s="22"/>
      <c r="DX79" s="22"/>
      <c r="DY79" s="22"/>
      <c r="DZ79" s="19"/>
      <c r="EA79" s="23"/>
      <c r="EB79" s="19"/>
      <c r="EC79" s="19"/>
      <c r="ED79" s="19"/>
      <c r="EE79" s="19"/>
      <c r="EF79" s="19"/>
      <c r="EG79" s="19"/>
      <c r="EH79" s="19"/>
      <c r="EI79" s="19"/>
      <c r="EJ79" s="19"/>
      <c r="EK79" s="19"/>
      <c r="EL79" s="19"/>
      <c r="EM79" s="19"/>
      <c r="EN79" s="19"/>
      <c r="EO79" s="19"/>
    </row>
    <row r="80" spans="1:145" s="36" customFormat="1">
      <c r="A80" s="36" t="s">
        <v>170</v>
      </c>
      <c r="B80" s="36">
        <v>5</v>
      </c>
      <c r="C80" s="36" t="s">
        <v>169</v>
      </c>
      <c r="D80" s="36" t="s">
        <v>207</v>
      </c>
      <c r="E80" s="36" t="s">
        <v>206</v>
      </c>
      <c r="G80" s="19">
        <v>39.700000000000003</v>
      </c>
      <c r="H80" s="19">
        <v>0.56000000000000005</v>
      </c>
      <c r="I80" s="19">
        <v>8.16</v>
      </c>
      <c r="J80" s="19">
        <v>5.7266000000000004</v>
      </c>
      <c r="K80" s="19">
        <v>0.1</v>
      </c>
      <c r="L80" s="19">
        <v>7.39</v>
      </c>
      <c r="M80" s="19">
        <v>18.2</v>
      </c>
      <c r="N80" s="19">
        <v>0.56000000000000005</v>
      </c>
      <c r="O80" s="19">
        <v>3.89</v>
      </c>
      <c r="P80" s="19">
        <v>0.23</v>
      </c>
      <c r="Q80" s="19">
        <v>3.95</v>
      </c>
      <c r="R80" s="19">
        <v>11.3</v>
      </c>
      <c r="S80" s="19">
        <f t="shared" ref="S80:S85" si="169">SUM(G80:R80)</f>
        <v>99.766600000000011</v>
      </c>
      <c r="U80" s="75"/>
      <c r="V80" s="75"/>
      <c r="W80" s="19"/>
      <c r="X80" s="19"/>
      <c r="Y80" s="19"/>
      <c r="Z80" s="19"/>
      <c r="AA80" s="19"/>
      <c r="AB80" s="22"/>
      <c r="AC80" s="22"/>
      <c r="AF80" s="19">
        <f t="shared" ref="AF80:AF85" si="170">(L80/40.31)/((L80/40.31)+(J80-(J80*0.15))*0.8998/71.85)</f>
        <v>0.7504639976611468</v>
      </c>
      <c r="AG80" s="20">
        <f t="shared" ref="AG80:AG85" si="171">H80*5995</f>
        <v>3357.2000000000003</v>
      </c>
      <c r="AH80" s="20">
        <f t="shared" ref="AH80:AH85" si="172">O80*8302</f>
        <v>32294.780000000002</v>
      </c>
      <c r="AI80" s="20">
        <f t="shared" ref="AI80:AI85" si="173">P80*4364</f>
        <v>1003.72</v>
      </c>
      <c r="AJ80" s="19">
        <f t="shared" ref="AJ80:AJ85" si="174">N80+O80</f>
        <v>4.45</v>
      </c>
      <c r="AK80" s="19">
        <f t="shared" ref="AK80:AK85" si="175">O80/N80</f>
        <v>6.9464285714285712</v>
      </c>
      <c r="AL80" s="19">
        <f t="shared" ref="AL80:AL85" si="176">N80/O80</f>
        <v>0.14395886889460155</v>
      </c>
      <c r="AM80" s="19">
        <f t="shared" ref="AM80:AM85" si="177">EK80/EG80</f>
        <v>2.2303921568627452</v>
      </c>
      <c r="AN80" s="19">
        <f t="shared" ref="AN80:AN85" si="178">O80/I80</f>
        <v>0.47671568627450983</v>
      </c>
      <c r="AO80" s="19">
        <f t="shared" ref="AO80:AO85" si="179">(EL80/61.98+EM80/94.2)/(EG80/101.96)</f>
        <v>0.62888190050952919</v>
      </c>
      <c r="AP80" s="19">
        <f t="shared" ref="AP80:AP85" si="180">1/AO80</f>
        <v>1.5901236769412279</v>
      </c>
      <c r="AQ80" s="19">
        <f t="shared" ref="AQ80:AQ85" si="181">(EG80/101.96)/((EK80/56.08)+(EL80/61.98)+(EM80/94.2))</f>
        <v>0.21349293525558743</v>
      </c>
      <c r="AR80" s="20">
        <f t="shared" ref="AR80:AR85" si="182">1000*(4*(EE80/60.08)-11*(EL80/61.98*2+EM80/94.2*2)-2*(EH80/159.69*2+EF80/79.87))</f>
        <v>1630.9345170162549</v>
      </c>
      <c r="AS80" s="20">
        <f t="shared" ref="AS80:AS85" si="183">1000*(6*(EK80/56.08)+2*(EJ80/40.3)+EG80/101.96*2)</f>
        <v>2927.2715762291905</v>
      </c>
      <c r="AT80" s="19"/>
      <c r="AU80" s="19">
        <f t="shared" ref="AU80:AU85" si="184">O80/G80</f>
        <v>9.7984886649874051E-2</v>
      </c>
      <c r="AV80" s="19">
        <f t="shared" ref="AV80:AV85" si="185">(O80/94.2)/(I80/101.96)</f>
        <v>0.5159865326172931</v>
      </c>
      <c r="AW80" s="19"/>
      <c r="AX80" s="20">
        <v>320</v>
      </c>
      <c r="AY80" s="20">
        <v>939</v>
      </c>
      <c r="AZ80" s="20">
        <v>534</v>
      </c>
      <c r="BA80" s="22"/>
      <c r="BB80" s="22"/>
      <c r="BC80" s="22">
        <v>107</v>
      </c>
      <c r="BD80" s="22">
        <v>528</v>
      </c>
      <c r="BE80" s="22">
        <v>49</v>
      </c>
      <c r="BF80" s="22">
        <v>137</v>
      </c>
      <c r="BG80" s="22">
        <v>36</v>
      </c>
      <c r="BH80" s="22">
        <v>99</v>
      </c>
      <c r="BI80" s="36">
        <v>22</v>
      </c>
      <c r="BJ80" s="20">
        <v>237</v>
      </c>
      <c r="BK80" s="20">
        <v>12</v>
      </c>
      <c r="BL80" s="22"/>
      <c r="BM80" s="22"/>
      <c r="BN80" s="20"/>
      <c r="BO80" s="20"/>
      <c r="BP80" s="20"/>
      <c r="BQ80" s="22"/>
      <c r="BR80" s="22"/>
      <c r="BS80" s="22"/>
      <c r="BT80" s="22"/>
      <c r="BU80" s="22"/>
      <c r="BV80" s="22"/>
      <c r="BW80" s="19"/>
      <c r="BX80" s="19"/>
      <c r="BY80" s="19"/>
      <c r="BZ80" s="22"/>
      <c r="CA80" s="19"/>
      <c r="CB80" s="20">
        <v>21</v>
      </c>
      <c r="CC80" s="20">
        <v>26</v>
      </c>
      <c r="CD80" s="22">
        <v>6.3</v>
      </c>
      <c r="CE80" s="22"/>
      <c r="CG80" s="22"/>
      <c r="CH80" s="22"/>
      <c r="CI80" s="22"/>
      <c r="CJ80" s="22"/>
      <c r="CK80" s="22"/>
      <c r="CL80" s="22"/>
      <c r="CM80" s="22"/>
      <c r="CN80" s="22"/>
      <c r="CO80" s="22"/>
      <c r="CP80" s="22"/>
      <c r="CQ80" s="22"/>
      <c r="CR80" s="22"/>
      <c r="CS80" s="22"/>
      <c r="CT80" s="22"/>
      <c r="CU80" s="22">
        <f>AZ80/BK80</f>
        <v>44.5</v>
      </c>
      <c r="CV80" s="22"/>
      <c r="CW80" s="22"/>
      <c r="CX80" s="20">
        <f>AG80/BK80</f>
        <v>279.76666666666671</v>
      </c>
      <c r="CY80" s="22"/>
      <c r="CZ80" s="22">
        <f>BK80/CD80</f>
        <v>1.9047619047619049</v>
      </c>
      <c r="DA80" s="22"/>
      <c r="DB80" s="22">
        <f>BJ80/BK80</f>
        <v>19.75</v>
      </c>
      <c r="DC80" s="22">
        <f>AZ80/CC80</f>
        <v>20.53846153846154</v>
      </c>
      <c r="DD80" s="22"/>
      <c r="DE80" s="22"/>
      <c r="DF80" s="22"/>
      <c r="DG80" s="19">
        <f>BK80/BI80</f>
        <v>0.54545454545454541</v>
      </c>
      <c r="DH80" s="20"/>
      <c r="DI80" s="19">
        <f>(BK80/0.46)/((O80/0.023)*(CD80/0.017))^0.5</f>
        <v>0.10419975976160141</v>
      </c>
      <c r="DJ80" s="22"/>
      <c r="DK80" s="22"/>
      <c r="DL80" s="22"/>
      <c r="DM80" s="22"/>
      <c r="DN80" s="76"/>
      <c r="DO80" s="22"/>
      <c r="DP80" s="20"/>
      <c r="DQ80" s="22"/>
      <c r="DR80" s="22"/>
      <c r="DS80" s="19"/>
      <c r="DT80" s="23">
        <f>1/AY80</f>
        <v>1.0649627263045794E-3</v>
      </c>
      <c r="DU80" s="22">
        <f>BJ80/BI80</f>
        <v>10.772727272727273</v>
      </c>
      <c r="DV80" s="22"/>
      <c r="DW80" s="22">
        <f>1.74+LOG(BK80/BI80)-1.92*LOG(BJ80/BI80)</f>
        <v>-0.50530671193534471</v>
      </c>
      <c r="DX80" s="22">
        <f>BK80*100/BJ80</f>
        <v>5.0632911392405067</v>
      </c>
      <c r="DY80" s="22">
        <f>CC80*100/BJ80</f>
        <v>10.970464135021096</v>
      </c>
      <c r="DZ80" s="19">
        <f>EK80*100/AY80</f>
        <v>2.2933153509184399</v>
      </c>
      <c r="EA80" s="23"/>
      <c r="EB80" s="19">
        <f>CC80/BK80</f>
        <v>2.1666666666666665</v>
      </c>
      <c r="EC80" s="19"/>
      <c r="ED80" s="19"/>
      <c r="EE80" s="19">
        <f t="shared" ref="EE80:EN85" si="186">100*G80/($G80+$H80+$I80+$J80+$K80+$L80+$M80+$N80+$O80+$P80)</f>
        <v>46.973020684693893</v>
      </c>
      <c r="EF80" s="19">
        <f t="shared" si="186"/>
        <v>0.66259172754228168</v>
      </c>
      <c r="EG80" s="19">
        <f t="shared" si="186"/>
        <v>9.6549080299018168</v>
      </c>
      <c r="EH80" s="19">
        <f t="shared" si="186"/>
        <v>6.7757103338279112</v>
      </c>
      <c r="EI80" s="19">
        <f t="shared" si="186"/>
        <v>0.118319951346836</v>
      </c>
      <c r="EJ80" s="19">
        <f t="shared" si="186"/>
        <v>8.7438444045311794</v>
      </c>
      <c r="EK80" s="19">
        <f t="shared" si="186"/>
        <v>21.534231145124149</v>
      </c>
      <c r="EL80" s="19">
        <f t="shared" si="186"/>
        <v>0.66259172754228168</v>
      </c>
      <c r="EM80" s="19">
        <f t="shared" si="186"/>
        <v>4.6026461073919203</v>
      </c>
      <c r="EN80" s="19">
        <f t="shared" si="186"/>
        <v>0.27213588809772277</v>
      </c>
      <c r="EO80" s="19">
        <f t="shared" ref="EO80:EO85" si="187">SUM(EE80:EN80)</f>
        <v>99.999999999999986</v>
      </c>
    </row>
    <row r="81" spans="1:145" s="36" customFormat="1">
      <c r="A81" s="36" t="s">
        <v>170</v>
      </c>
      <c r="B81" s="36">
        <v>5</v>
      </c>
      <c r="C81" s="36" t="s">
        <v>169</v>
      </c>
      <c r="D81" s="36" t="s">
        <v>207</v>
      </c>
      <c r="E81" s="36" t="s">
        <v>206</v>
      </c>
      <c r="G81" s="19">
        <v>34.6</v>
      </c>
      <c r="H81" s="19">
        <v>0.67</v>
      </c>
      <c r="I81" s="19">
        <v>7.62</v>
      </c>
      <c r="J81" s="19">
        <v>7.0810000000000004</v>
      </c>
      <c r="K81" s="19">
        <v>0.13</v>
      </c>
      <c r="L81" s="19">
        <v>9.42</v>
      </c>
      <c r="M81" s="19">
        <v>20.100000000000001</v>
      </c>
      <c r="N81" s="19">
        <v>0.62</v>
      </c>
      <c r="O81" s="19">
        <v>4.8899999999999997</v>
      </c>
      <c r="P81" s="19">
        <v>0.28000000000000003</v>
      </c>
      <c r="Q81" s="19">
        <v>3.73</v>
      </c>
      <c r="R81" s="19">
        <v>10.4</v>
      </c>
      <c r="S81" s="19">
        <f t="shared" si="169"/>
        <v>99.541000000000025</v>
      </c>
      <c r="U81" s="75"/>
      <c r="V81" s="75"/>
      <c r="W81" s="19"/>
      <c r="X81" s="19"/>
      <c r="Y81" s="19"/>
      <c r="Z81" s="19"/>
      <c r="AA81" s="19"/>
      <c r="AB81" s="22"/>
      <c r="AC81" s="22"/>
      <c r="AF81" s="19">
        <f t="shared" si="170"/>
        <v>0.75611610589231204</v>
      </c>
      <c r="AG81" s="20">
        <f t="shared" si="171"/>
        <v>4016.65</v>
      </c>
      <c r="AH81" s="20">
        <f t="shared" si="172"/>
        <v>40596.78</v>
      </c>
      <c r="AI81" s="20">
        <f t="shared" si="173"/>
        <v>1221.92</v>
      </c>
      <c r="AJ81" s="19">
        <f t="shared" si="174"/>
        <v>5.51</v>
      </c>
      <c r="AK81" s="19">
        <f t="shared" si="175"/>
        <v>7.887096774193548</v>
      </c>
      <c r="AL81" s="19">
        <f t="shared" si="176"/>
        <v>0.12678936605316973</v>
      </c>
      <c r="AM81" s="19">
        <f t="shared" si="177"/>
        <v>2.6377952755905518</v>
      </c>
      <c r="AN81" s="19">
        <f t="shared" si="178"/>
        <v>0.6417322834645669</v>
      </c>
      <c r="AO81" s="19">
        <f t="shared" si="179"/>
        <v>0.82844580509653065</v>
      </c>
      <c r="AP81" s="19">
        <f t="shared" si="180"/>
        <v>1.2070795625351496</v>
      </c>
      <c r="AQ81" s="19">
        <f t="shared" si="181"/>
        <v>0.17780097332299341</v>
      </c>
      <c r="AR81" s="20">
        <f t="shared" si="182"/>
        <v>874.99278122674502</v>
      </c>
      <c r="AS81" s="20">
        <f t="shared" si="183"/>
        <v>3240.1721836773736</v>
      </c>
      <c r="AT81" s="19"/>
      <c r="AU81" s="19">
        <f t="shared" si="184"/>
        <v>0.14132947976878613</v>
      </c>
      <c r="AV81" s="19">
        <f t="shared" si="185"/>
        <v>0.69459685373723179</v>
      </c>
      <c r="AW81" s="19"/>
      <c r="AX81" s="20">
        <v>476</v>
      </c>
      <c r="AY81" s="20">
        <v>1276</v>
      </c>
      <c r="AZ81" s="20">
        <v>630</v>
      </c>
      <c r="BA81" s="22"/>
      <c r="BB81" s="22"/>
      <c r="BC81" s="22">
        <v>102</v>
      </c>
      <c r="BD81" s="22">
        <v>721</v>
      </c>
      <c r="BE81" s="22">
        <v>52</v>
      </c>
      <c r="BF81" s="22">
        <v>177</v>
      </c>
      <c r="BG81" s="22">
        <v>41</v>
      </c>
      <c r="BH81" s="22">
        <v>89</v>
      </c>
      <c r="BI81" s="36">
        <v>15</v>
      </c>
      <c r="BJ81" s="20">
        <v>291</v>
      </c>
      <c r="BK81" s="20">
        <v>13</v>
      </c>
      <c r="BL81" s="22"/>
      <c r="BM81" s="22"/>
      <c r="BN81" s="20"/>
      <c r="BO81" s="20"/>
      <c r="BP81" s="20"/>
      <c r="BQ81" s="22"/>
      <c r="BR81" s="22"/>
      <c r="BS81" s="22"/>
      <c r="BT81" s="22"/>
      <c r="BU81" s="22"/>
      <c r="BV81" s="22"/>
      <c r="BW81" s="19"/>
      <c r="BX81" s="19"/>
      <c r="BY81" s="19"/>
      <c r="BZ81" s="22"/>
      <c r="CA81" s="19"/>
      <c r="CB81" s="20">
        <v>25</v>
      </c>
      <c r="CC81" s="20">
        <v>30</v>
      </c>
      <c r="CD81" s="22"/>
      <c r="CE81" s="22"/>
      <c r="CG81" s="22"/>
      <c r="CH81" s="22"/>
      <c r="CI81" s="22"/>
      <c r="CJ81" s="22"/>
      <c r="CK81" s="22"/>
      <c r="CL81" s="22"/>
      <c r="CM81" s="22"/>
      <c r="CN81" s="22"/>
      <c r="CO81" s="22"/>
      <c r="CP81" s="22"/>
      <c r="CQ81" s="22"/>
      <c r="CR81" s="22"/>
      <c r="CS81" s="22"/>
      <c r="CT81" s="22"/>
      <c r="CU81" s="22">
        <f>AZ81/BK81</f>
        <v>48.46153846153846</v>
      </c>
      <c r="CV81" s="22"/>
      <c r="CW81" s="22"/>
      <c r="CX81" s="20">
        <f>AG81/BK81</f>
        <v>308.97307692307692</v>
      </c>
      <c r="CY81" s="22"/>
      <c r="CZ81" s="22"/>
      <c r="DA81" s="22"/>
      <c r="DB81" s="22">
        <f>BJ81/BK81</f>
        <v>22.384615384615383</v>
      </c>
      <c r="DC81" s="22">
        <f>AZ81/CC81</f>
        <v>21</v>
      </c>
      <c r="DD81" s="22"/>
      <c r="DE81" s="22"/>
      <c r="DF81" s="22"/>
      <c r="DG81" s="19">
        <f>BK81/BI81</f>
        <v>0.8666666666666667</v>
      </c>
      <c r="DH81" s="20"/>
      <c r="DI81" s="19"/>
      <c r="DJ81" s="22"/>
      <c r="DK81" s="22"/>
      <c r="DL81" s="22"/>
      <c r="DM81" s="22"/>
      <c r="DN81" s="76"/>
      <c r="DO81" s="22"/>
      <c r="DP81" s="20"/>
      <c r="DQ81" s="22"/>
      <c r="DR81" s="22"/>
      <c r="DS81" s="19"/>
      <c r="DT81" s="23">
        <f>1/AY81</f>
        <v>7.836990595611285E-4</v>
      </c>
      <c r="DU81" s="22">
        <f>BJ81/BI81</f>
        <v>19.399999999999999</v>
      </c>
      <c r="DV81" s="22"/>
      <c r="DW81" s="22">
        <f>1.74+LOG(BK81/BI81)-1.92*LOG(BJ81/BI81)</f>
        <v>-0.79472722821487829</v>
      </c>
      <c r="DX81" s="22">
        <f>BK81*100/BJ81</f>
        <v>4.4673539518900345</v>
      </c>
      <c r="DY81" s="22">
        <f>CC81*100/BJ81</f>
        <v>10.309278350515465</v>
      </c>
      <c r="DZ81" s="19">
        <f>EK81*100/AY81</f>
        <v>1.8443000429896248</v>
      </c>
      <c r="EA81" s="23"/>
      <c r="EB81" s="19">
        <f>CC81/BK81</f>
        <v>2.3076923076923075</v>
      </c>
      <c r="EC81" s="19"/>
      <c r="ED81" s="19"/>
      <c r="EE81" s="19">
        <f t="shared" si="186"/>
        <v>40.510004566156574</v>
      </c>
      <c r="EF81" s="19">
        <f t="shared" si="186"/>
        <v>0.78444228495158685</v>
      </c>
      <c r="EG81" s="19">
        <f t="shared" si="186"/>
        <v>8.9215674795986448</v>
      </c>
      <c r="EH81" s="19">
        <f t="shared" si="186"/>
        <v>8.2905012234958022</v>
      </c>
      <c r="EI81" s="19">
        <f t="shared" si="186"/>
        <v>0.15220521946821836</v>
      </c>
      <c r="EJ81" s="19">
        <f t="shared" si="186"/>
        <v>11.029024364543206</v>
      </c>
      <c r="EK81" s="19">
        <f t="shared" si="186"/>
        <v>23.533268548547611</v>
      </c>
      <c r="EL81" s="19">
        <f t="shared" si="186"/>
        <v>0.72590181592534908</v>
      </c>
      <c r="EM81" s="19">
        <f t="shared" si="186"/>
        <v>5.7252578707660593</v>
      </c>
      <c r="EN81" s="19">
        <f t="shared" si="186"/>
        <v>0.3278266265469319</v>
      </c>
      <c r="EO81" s="19">
        <f t="shared" si="187"/>
        <v>100</v>
      </c>
    </row>
    <row r="82" spans="1:145" s="36" customFormat="1">
      <c r="A82" s="36" t="s">
        <v>170</v>
      </c>
      <c r="B82" s="36">
        <v>5</v>
      </c>
      <c r="C82" s="36" t="s">
        <v>205</v>
      </c>
      <c r="D82" s="36" t="s">
        <v>204</v>
      </c>
      <c r="E82" s="36" t="s">
        <v>203</v>
      </c>
      <c r="G82" s="19">
        <v>41</v>
      </c>
      <c r="H82" s="19">
        <v>0.76</v>
      </c>
      <c r="I82" s="19">
        <v>11.3</v>
      </c>
      <c r="J82" s="19">
        <v>7.295300000000001</v>
      </c>
      <c r="K82" s="19">
        <v>0.12</v>
      </c>
      <c r="L82" s="19">
        <v>13</v>
      </c>
      <c r="M82" s="19">
        <v>14.8</v>
      </c>
      <c r="N82" s="19">
        <v>1.0900000000000001</v>
      </c>
      <c r="O82" s="19">
        <v>7.76</v>
      </c>
      <c r="P82" s="19">
        <v>0.33</v>
      </c>
      <c r="Q82" s="19">
        <v>2.97</v>
      </c>
      <c r="R82" s="19"/>
      <c r="S82" s="19">
        <f t="shared" si="169"/>
        <v>100.42530000000001</v>
      </c>
      <c r="U82" s="75"/>
      <c r="W82" s="19"/>
      <c r="X82" s="19"/>
      <c r="Y82" s="19"/>
      <c r="Z82" s="19"/>
      <c r="AA82" s="19"/>
      <c r="AB82" s="22"/>
      <c r="AC82" s="22"/>
      <c r="AF82" s="19">
        <f t="shared" si="170"/>
        <v>0.8059337237643267</v>
      </c>
      <c r="AG82" s="20">
        <f t="shared" si="171"/>
        <v>4556.2</v>
      </c>
      <c r="AH82" s="20">
        <f t="shared" si="172"/>
        <v>64423.519999999997</v>
      </c>
      <c r="AI82" s="20">
        <f t="shared" si="173"/>
        <v>1440.1200000000001</v>
      </c>
      <c r="AJ82" s="19">
        <f t="shared" si="174"/>
        <v>8.85</v>
      </c>
      <c r="AK82" s="19">
        <f t="shared" si="175"/>
        <v>7.1192660550458706</v>
      </c>
      <c r="AL82" s="19">
        <f t="shared" si="176"/>
        <v>0.1404639175257732</v>
      </c>
      <c r="AM82" s="19">
        <f t="shared" si="177"/>
        <v>1.3097345132743363</v>
      </c>
      <c r="AN82" s="19">
        <f t="shared" si="178"/>
        <v>0.68672566371681409</v>
      </c>
      <c r="AO82" s="19">
        <f t="shared" si="179"/>
        <v>0.90197819949119462</v>
      </c>
      <c r="AP82" s="19">
        <f t="shared" si="180"/>
        <v>1.108674245745739</v>
      </c>
      <c r="AQ82" s="19">
        <f t="shared" si="181"/>
        <v>0.30457822941880092</v>
      </c>
      <c r="AR82" s="20">
        <f t="shared" si="182"/>
        <v>337.29621644404864</v>
      </c>
      <c r="AS82" s="20">
        <f t="shared" si="183"/>
        <v>2514.249150786145</v>
      </c>
      <c r="AU82" s="19">
        <f t="shared" si="184"/>
        <v>0.18926829268292683</v>
      </c>
      <c r="AV82" s="19">
        <f t="shared" si="185"/>
        <v>0.74329669503785945</v>
      </c>
      <c r="AX82" s="20">
        <v>404</v>
      </c>
      <c r="AY82" s="20">
        <v>1591</v>
      </c>
      <c r="AZ82" s="20">
        <v>779</v>
      </c>
      <c r="BA82" s="22"/>
      <c r="BB82" s="22">
        <v>23</v>
      </c>
      <c r="BC82" s="22">
        <v>129</v>
      </c>
      <c r="BD82" s="22">
        <v>832</v>
      </c>
      <c r="BE82" s="22">
        <v>40</v>
      </c>
      <c r="BF82" s="22">
        <v>133</v>
      </c>
      <c r="BG82" s="22"/>
      <c r="BH82" s="22"/>
      <c r="BI82" s="36">
        <v>36</v>
      </c>
      <c r="BJ82" s="20">
        <v>330</v>
      </c>
      <c r="BK82" s="20">
        <v>16</v>
      </c>
      <c r="BL82" s="22"/>
      <c r="BM82" s="22"/>
      <c r="BN82" s="20"/>
      <c r="BO82" s="20">
        <v>208</v>
      </c>
      <c r="BP82" s="20"/>
      <c r="BQ82" s="22"/>
      <c r="BR82" s="22"/>
      <c r="BS82" s="22"/>
      <c r="BT82" s="22"/>
      <c r="BU82" s="22"/>
      <c r="BV82" s="22"/>
      <c r="BW82" s="19"/>
      <c r="BX82" s="19"/>
      <c r="BY82" s="19"/>
      <c r="BZ82" s="22"/>
      <c r="CA82" s="19"/>
      <c r="CB82" s="20"/>
      <c r="CC82" s="20">
        <v>33.5</v>
      </c>
      <c r="CD82" s="22"/>
      <c r="CE82" s="22"/>
      <c r="CG82" s="22"/>
      <c r="CH82" s="22">
        <f>BO82/0.635</f>
        <v>327.55905511811022</v>
      </c>
      <c r="CI82" s="22"/>
      <c r="CJ82" s="22"/>
      <c r="CK82" s="22"/>
      <c r="CL82" s="22"/>
      <c r="CM82" s="22"/>
      <c r="CN82" s="22"/>
      <c r="CO82" s="22"/>
      <c r="CP82" s="22"/>
      <c r="CQ82" s="22"/>
      <c r="CR82" s="22"/>
      <c r="CS82" s="22"/>
      <c r="CT82" s="22"/>
      <c r="CU82" s="22">
        <f>AZ82/BK82</f>
        <v>48.6875</v>
      </c>
      <c r="CV82" s="22"/>
      <c r="CW82" s="22"/>
      <c r="CX82" s="20">
        <f>AG82/BK82</f>
        <v>284.76249999999999</v>
      </c>
      <c r="CY82" s="22"/>
      <c r="CZ82" s="22"/>
      <c r="DA82" s="22"/>
      <c r="DB82" s="22">
        <f>BJ82/BK82</f>
        <v>20.625</v>
      </c>
      <c r="DC82" s="22">
        <f>AZ82/CC82</f>
        <v>23.253731343283583</v>
      </c>
      <c r="DD82" s="22"/>
      <c r="DE82" s="22"/>
      <c r="DF82" s="22"/>
      <c r="DG82" s="19">
        <f>BK82/BI82</f>
        <v>0.44444444444444442</v>
      </c>
      <c r="DH82" s="20"/>
      <c r="DI82" s="19"/>
      <c r="DJ82" s="22"/>
      <c r="DK82" s="22"/>
      <c r="DL82" s="22"/>
      <c r="DM82" s="22"/>
      <c r="DN82" s="76"/>
      <c r="DO82" s="22"/>
      <c r="DP82" s="20"/>
      <c r="DQ82" s="22"/>
      <c r="DR82" s="22"/>
      <c r="DS82" s="19"/>
      <c r="DT82" s="23">
        <f>1/AY82</f>
        <v>6.285355122564425E-4</v>
      </c>
      <c r="DU82" s="22">
        <f>BJ82/BI82</f>
        <v>9.1666666666666661</v>
      </c>
      <c r="DV82" s="22"/>
      <c r="DW82" s="22">
        <f>1.74+LOG(BK82/BI82)-1.92*LOG(BJ82/BI82)</f>
        <v>-0.45962848120371458</v>
      </c>
      <c r="DX82" s="22">
        <f>BK82*100/BJ82</f>
        <v>4.8484848484848486</v>
      </c>
      <c r="DY82" s="22">
        <f>CC82*100/BJ82</f>
        <v>10.151515151515152</v>
      </c>
      <c r="DZ82" s="19">
        <f>EK82*100/AY82</f>
        <v>0.95452228677099638</v>
      </c>
      <c r="EA82" s="23"/>
      <c r="EB82" s="19">
        <f>CC82/BK82</f>
        <v>2.09375</v>
      </c>
      <c r="EC82" s="19"/>
      <c r="ED82" s="19"/>
      <c r="EE82" s="19">
        <f t="shared" si="186"/>
        <v>42.070569789431666</v>
      </c>
      <c r="EF82" s="19">
        <f t="shared" si="186"/>
        <v>0.779844708291904</v>
      </c>
      <c r="EG82" s="19">
        <f t="shared" si="186"/>
        <v>11.595059478550677</v>
      </c>
      <c r="EH82" s="19">
        <f t="shared" si="186"/>
        <v>7.4857909215814846</v>
      </c>
      <c r="EI82" s="19">
        <f t="shared" si="186"/>
        <v>0.12313337499345853</v>
      </c>
      <c r="EJ82" s="19">
        <f t="shared" si="186"/>
        <v>13.339448957624674</v>
      </c>
      <c r="EK82" s="19">
        <f t="shared" si="186"/>
        <v>15.186449582526551</v>
      </c>
      <c r="EL82" s="19">
        <f t="shared" si="186"/>
        <v>1.1184614895239151</v>
      </c>
      <c r="EM82" s="19">
        <f t="shared" si="186"/>
        <v>7.9626249162436515</v>
      </c>
      <c r="EN82" s="19">
        <f t="shared" si="186"/>
        <v>0.33861678123201094</v>
      </c>
      <c r="EO82" s="19">
        <f t="shared" si="187"/>
        <v>99.999999999999972</v>
      </c>
    </row>
    <row r="83" spans="1:145" s="36" customFormat="1" ht="14" customHeight="1">
      <c r="A83" s="36" t="s">
        <v>170</v>
      </c>
      <c r="B83" s="36">
        <v>5</v>
      </c>
      <c r="C83" s="36" t="s">
        <v>176</v>
      </c>
      <c r="D83" s="36" t="s">
        <v>175</v>
      </c>
      <c r="E83" s="36" t="s">
        <v>198</v>
      </c>
      <c r="G83" s="19">
        <v>40.520000000000003</v>
      </c>
      <c r="H83" s="19">
        <v>0.74</v>
      </c>
      <c r="I83" s="19">
        <v>10.43</v>
      </c>
      <c r="J83" s="19">
        <v>7.9</v>
      </c>
      <c r="K83" s="19">
        <v>0.11</v>
      </c>
      <c r="L83" s="19">
        <v>12.65</v>
      </c>
      <c r="M83" s="19">
        <v>16.23</v>
      </c>
      <c r="N83" s="19">
        <v>1.1100000000000001</v>
      </c>
      <c r="O83" s="19">
        <v>7.41</v>
      </c>
      <c r="P83" s="19">
        <v>0.32</v>
      </c>
      <c r="Q83" s="19">
        <v>0.56000000000000005</v>
      </c>
      <c r="R83" s="19">
        <v>2.11</v>
      </c>
      <c r="S83" s="19">
        <f t="shared" si="169"/>
        <v>100.09</v>
      </c>
      <c r="U83" s="75"/>
      <c r="W83" s="19"/>
      <c r="X83" s="19"/>
      <c r="Y83" s="19"/>
      <c r="Z83" s="19"/>
      <c r="AA83" s="19"/>
      <c r="AB83" s="22"/>
      <c r="AC83" s="22"/>
      <c r="AF83" s="19">
        <f t="shared" si="170"/>
        <v>0.78866168198879649</v>
      </c>
      <c r="AG83" s="20">
        <f t="shared" si="171"/>
        <v>4436.3</v>
      </c>
      <c r="AH83" s="20">
        <f t="shared" si="172"/>
        <v>61517.82</v>
      </c>
      <c r="AI83" s="20">
        <f t="shared" si="173"/>
        <v>1396.48</v>
      </c>
      <c r="AJ83" s="19">
        <f t="shared" si="174"/>
        <v>8.52</v>
      </c>
      <c r="AK83" s="19">
        <f t="shared" si="175"/>
        <v>6.6756756756756754</v>
      </c>
      <c r="AL83" s="19">
        <f t="shared" si="176"/>
        <v>0.14979757085020243</v>
      </c>
      <c r="AM83" s="19">
        <f t="shared" si="177"/>
        <v>1.5560882070949185</v>
      </c>
      <c r="AN83" s="19">
        <f t="shared" si="178"/>
        <v>0.71045062320230112</v>
      </c>
      <c r="AO83" s="19">
        <f t="shared" si="179"/>
        <v>0.94404816090834387</v>
      </c>
      <c r="AP83" s="19">
        <f t="shared" si="180"/>
        <v>1.059267992257747</v>
      </c>
      <c r="AQ83" s="19">
        <f t="shared" si="181"/>
        <v>0.26502713488604274</v>
      </c>
      <c r="AR83" s="20">
        <f t="shared" si="182"/>
        <v>366.19947517477567</v>
      </c>
      <c r="AS83" s="20">
        <f t="shared" si="183"/>
        <v>2636.8605318310297</v>
      </c>
      <c r="AU83" s="19">
        <f t="shared" si="184"/>
        <v>0.1828726554787759</v>
      </c>
      <c r="AV83" s="19">
        <f t="shared" si="185"/>
        <v>0.7689760673217263</v>
      </c>
      <c r="AX83" s="20"/>
      <c r="AY83" s="20"/>
      <c r="AZ83" s="20"/>
      <c r="BA83" s="22"/>
      <c r="BB83" s="22"/>
      <c r="BC83" s="22"/>
      <c r="BD83" s="22"/>
      <c r="BE83" s="22"/>
      <c r="BF83" s="22"/>
      <c r="BG83" s="22"/>
      <c r="BH83" s="22"/>
      <c r="BJ83" s="20"/>
      <c r="BK83" s="20"/>
      <c r="BL83" s="22"/>
      <c r="BM83" s="22"/>
      <c r="BN83" s="20"/>
      <c r="BO83" s="20"/>
      <c r="BP83" s="20"/>
      <c r="BQ83" s="22"/>
      <c r="BR83" s="22"/>
      <c r="BS83" s="22"/>
      <c r="BT83" s="22"/>
      <c r="BU83" s="22"/>
      <c r="BV83" s="22"/>
      <c r="BW83" s="19"/>
      <c r="BX83" s="19"/>
      <c r="BY83" s="19"/>
      <c r="BZ83" s="22"/>
      <c r="CA83" s="19"/>
      <c r="CB83" s="20"/>
      <c r="CC83" s="20"/>
      <c r="CD83" s="22"/>
      <c r="CE83" s="22"/>
      <c r="CG83" s="22"/>
      <c r="CH83" s="22"/>
      <c r="CI83" s="22"/>
      <c r="CJ83" s="22"/>
      <c r="CK83" s="22"/>
      <c r="CL83" s="22"/>
      <c r="CM83" s="22"/>
      <c r="CN83" s="22"/>
      <c r="CO83" s="22"/>
      <c r="CP83" s="22"/>
      <c r="CQ83" s="22"/>
      <c r="CR83" s="22"/>
      <c r="CS83" s="22"/>
      <c r="CT83" s="22"/>
      <c r="CU83" s="22"/>
      <c r="CV83" s="22"/>
      <c r="CW83" s="22"/>
      <c r="CX83" s="20"/>
      <c r="CY83" s="22"/>
      <c r="CZ83" s="22"/>
      <c r="DA83" s="22"/>
      <c r="DB83" s="22"/>
      <c r="DC83" s="22"/>
      <c r="DD83" s="22"/>
      <c r="DE83" s="22"/>
      <c r="DF83" s="22"/>
      <c r="DG83" s="19"/>
      <c r="DH83" s="20"/>
      <c r="DI83" s="19"/>
      <c r="DJ83" s="22"/>
      <c r="DK83" s="22"/>
      <c r="DL83" s="22"/>
      <c r="DM83" s="22"/>
      <c r="DN83" s="76"/>
      <c r="DO83" s="22"/>
      <c r="DP83" s="20"/>
      <c r="DQ83" s="22"/>
      <c r="DR83" s="22"/>
      <c r="DS83" s="19"/>
      <c r="DT83" s="23"/>
      <c r="DU83" s="22"/>
      <c r="DV83" s="22"/>
      <c r="DW83" s="22"/>
      <c r="DX83" s="22"/>
      <c r="DY83" s="22"/>
      <c r="DZ83" s="19"/>
      <c r="EA83" s="23"/>
      <c r="EB83" s="19"/>
      <c r="EC83" s="19"/>
      <c r="ED83" s="19"/>
      <c r="EE83" s="19">
        <f t="shared" si="186"/>
        <v>41.593102032436875</v>
      </c>
      <c r="EF83" s="19">
        <f t="shared" si="186"/>
        <v>0.75959761855881747</v>
      </c>
      <c r="EG83" s="19">
        <f t="shared" si="186"/>
        <v>10.706220488606036</v>
      </c>
      <c r="EH83" s="19">
        <f t="shared" si="186"/>
        <v>8.1092178197495386</v>
      </c>
      <c r="EI83" s="19">
        <f t="shared" si="186"/>
        <v>0.11291315951549989</v>
      </c>
      <c r="EJ83" s="19">
        <f t="shared" si="186"/>
        <v>12.985013344282487</v>
      </c>
      <c r="EK83" s="19">
        <f t="shared" si="186"/>
        <v>16.659823444877848</v>
      </c>
      <c r="EL83" s="19">
        <f t="shared" si="186"/>
        <v>1.1393964278382263</v>
      </c>
      <c r="EM83" s="19">
        <f t="shared" si="186"/>
        <v>7.606241018271402</v>
      </c>
      <c r="EN83" s="19">
        <f t="shared" si="186"/>
        <v>0.32847464586327241</v>
      </c>
      <c r="EO83" s="19">
        <f t="shared" si="187"/>
        <v>99.999999999999986</v>
      </c>
    </row>
    <row r="84" spans="1:145" s="36" customFormat="1">
      <c r="A84" s="36" t="s">
        <v>170</v>
      </c>
      <c r="B84" s="36">
        <v>5</v>
      </c>
      <c r="C84" s="36" t="s">
        <v>163</v>
      </c>
      <c r="D84" s="36" t="s">
        <v>202</v>
      </c>
      <c r="E84" s="36" t="s">
        <v>201</v>
      </c>
      <c r="G84" s="19">
        <v>42.4</v>
      </c>
      <c r="H84" s="19">
        <v>0.63</v>
      </c>
      <c r="I84" s="19">
        <v>9.56</v>
      </c>
      <c r="J84" s="19">
        <v>6.0036000000000005</v>
      </c>
      <c r="K84" s="19">
        <v>0.11</v>
      </c>
      <c r="L84" s="19">
        <v>8</v>
      </c>
      <c r="M84" s="19">
        <v>13.8</v>
      </c>
      <c r="N84" s="19">
        <v>0.78</v>
      </c>
      <c r="O84" s="19">
        <v>4.7</v>
      </c>
      <c r="P84" s="19">
        <v>0.34</v>
      </c>
      <c r="Q84" s="19">
        <v>3.93</v>
      </c>
      <c r="R84" s="19">
        <v>9.4499999999999993</v>
      </c>
      <c r="S84" s="19">
        <f t="shared" si="169"/>
        <v>99.703600000000009</v>
      </c>
      <c r="U84" s="75"/>
      <c r="W84" s="19"/>
      <c r="X84" s="19"/>
      <c r="Y84" s="19"/>
      <c r="Z84" s="19"/>
      <c r="AA84" s="19"/>
      <c r="AB84" s="22"/>
      <c r="AC84" s="22"/>
      <c r="AF84" s="19">
        <f t="shared" si="170"/>
        <v>0.75642251186158227</v>
      </c>
      <c r="AG84" s="20">
        <f t="shared" si="171"/>
        <v>3776.85</v>
      </c>
      <c r="AH84" s="20">
        <f t="shared" si="172"/>
        <v>39019.4</v>
      </c>
      <c r="AI84" s="20">
        <f t="shared" si="173"/>
        <v>1483.7600000000002</v>
      </c>
      <c r="AJ84" s="19">
        <f t="shared" si="174"/>
        <v>5.48</v>
      </c>
      <c r="AK84" s="19">
        <f t="shared" si="175"/>
        <v>6.0256410256410255</v>
      </c>
      <c r="AL84" s="19">
        <f t="shared" si="176"/>
        <v>0.16595744680851063</v>
      </c>
      <c r="AM84" s="19">
        <f t="shared" si="177"/>
        <v>1.4435146443514646</v>
      </c>
      <c r="AN84" s="19">
        <f t="shared" si="178"/>
        <v>0.49163179916317989</v>
      </c>
      <c r="AO84" s="19">
        <f t="shared" si="179"/>
        <v>0.66635070255758888</v>
      </c>
      <c r="AP84" s="19">
        <f t="shared" si="180"/>
        <v>1.5007112563426399</v>
      </c>
      <c r="AQ84" s="19">
        <f t="shared" si="181"/>
        <v>0.30387478189704897</v>
      </c>
      <c r="AR84" s="20">
        <f t="shared" si="182"/>
        <v>1485.3617656016418</v>
      </c>
      <c r="AS84" s="20">
        <f t="shared" si="183"/>
        <v>2387.5383426863682</v>
      </c>
      <c r="AU84" s="19">
        <f t="shared" si="184"/>
        <v>0.11084905660377359</v>
      </c>
      <c r="AV84" s="19">
        <f t="shared" si="185"/>
        <v>0.53213140385008306</v>
      </c>
      <c r="AX84" s="20">
        <v>328</v>
      </c>
      <c r="AY84" s="20">
        <v>916</v>
      </c>
      <c r="AZ84" s="20">
        <v>851</v>
      </c>
      <c r="BA84" s="22"/>
      <c r="BB84" s="22"/>
      <c r="BC84" s="22">
        <v>96</v>
      </c>
      <c r="BD84" s="22">
        <v>452</v>
      </c>
      <c r="BE84" s="22">
        <v>25.2</v>
      </c>
      <c r="BF84" s="22">
        <v>105</v>
      </c>
      <c r="BG84" s="22">
        <v>29</v>
      </c>
      <c r="BH84" s="22">
        <v>118</v>
      </c>
      <c r="BI84" s="36">
        <v>24</v>
      </c>
      <c r="BJ84" s="20">
        <v>278</v>
      </c>
      <c r="BK84" s="20">
        <v>12</v>
      </c>
      <c r="BL84" s="22">
        <v>6.6</v>
      </c>
      <c r="BM84" s="22">
        <v>0.73</v>
      </c>
      <c r="BN84" s="20">
        <v>49.6</v>
      </c>
      <c r="BO84" s="20">
        <v>115</v>
      </c>
      <c r="BP84" s="20">
        <v>13.6</v>
      </c>
      <c r="BQ84" s="22">
        <v>58.3</v>
      </c>
      <c r="BR84" s="22">
        <v>10.8</v>
      </c>
      <c r="BS84" s="22">
        <v>2.04</v>
      </c>
      <c r="BT84" s="22">
        <v>8.9700000000000006</v>
      </c>
      <c r="BU84" s="22">
        <v>1.05</v>
      </c>
      <c r="BV84" s="22">
        <v>5.69</v>
      </c>
      <c r="BW84" s="19">
        <v>0.95</v>
      </c>
      <c r="BX84" s="19">
        <v>2.7</v>
      </c>
      <c r="BY84" s="19">
        <v>0.33</v>
      </c>
      <c r="BZ84" s="22">
        <v>2.14</v>
      </c>
      <c r="CA84" s="19">
        <v>0.31</v>
      </c>
      <c r="CB84" s="20">
        <v>21</v>
      </c>
      <c r="CC84" s="20">
        <v>25</v>
      </c>
      <c r="CD84" s="22">
        <v>5.95</v>
      </c>
      <c r="CE84" s="22"/>
      <c r="CG84" s="22">
        <f>BN84/0.242</f>
        <v>204.95867768595042</v>
      </c>
      <c r="CH84" s="22">
        <f>BO84/0.635</f>
        <v>181.10236220472441</v>
      </c>
      <c r="CI84" s="22">
        <f>BP84/0.0963</f>
        <v>141.22533748701974</v>
      </c>
      <c r="CJ84" s="22">
        <f>BQ84/0.48</f>
        <v>121.45833333333333</v>
      </c>
      <c r="CK84" s="22">
        <f>BR84/0.156</f>
        <v>69.230769230769241</v>
      </c>
      <c r="CL84" s="22">
        <f>BS84/0.0591</f>
        <v>34.517766497461928</v>
      </c>
      <c r="CM84" s="22">
        <f>BT84/0.212</f>
        <v>42.311320754716988</v>
      </c>
      <c r="CN84" s="22">
        <f>BU84/0.0376</f>
        <v>27.925531914893618</v>
      </c>
      <c r="CO84" s="22">
        <f>BV84/0.259</f>
        <v>21.969111969111971</v>
      </c>
      <c r="CP84" s="22">
        <f>BW84/0.0585</f>
        <v>16.239316239316238</v>
      </c>
      <c r="CQ84" s="22">
        <f>BX84/0.163</f>
        <v>16.564417177914113</v>
      </c>
      <c r="CR84" s="22">
        <f>BY84/0.0256</f>
        <v>12.890625</v>
      </c>
      <c r="CS84" s="22">
        <f>BZ84/0.166</f>
        <v>12.891566265060241</v>
      </c>
      <c r="CT84" s="22">
        <f>CA84/0.024</f>
        <v>12.916666666666666</v>
      </c>
      <c r="CU84" s="22">
        <f>AZ84/BK84</f>
        <v>70.916666666666671</v>
      </c>
      <c r="CV84" s="22">
        <f>AZ84/BN84</f>
        <v>17.157258064516128</v>
      </c>
      <c r="CW84" s="22">
        <f>BN84/BK84</f>
        <v>4.1333333333333337</v>
      </c>
      <c r="CX84" s="20">
        <f>AG84/BK84</f>
        <v>314.73750000000001</v>
      </c>
      <c r="CY84" s="22">
        <f>BO84/CB84</f>
        <v>5.4761904761904763</v>
      </c>
      <c r="CZ84" s="22">
        <f>BK84/CD84</f>
        <v>2.0168067226890756</v>
      </c>
      <c r="DA84" s="22">
        <f>AX84/BR84</f>
        <v>30.370370370370367</v>
      </c>
      <c r="DB84" s="22">
        <f>BJ84/BK84</f>
        <v>23.166666666666668</v>
      </c>
      <c r="DC84" s="22">
        <f>AZ84/CC84</f>
        <v>34.04</v>
      </c>
      <c r="DD84" s="22">
        <f>CC84/BM84</f>
        <v>34.246575342465754</v>
      </c>
      <c r="DE84" s="22">
        <f>BM84/BZ84</f>
        <v>0.34112149532710279</v>
      </c>
      <c r="DF84" s="22">
        <f>CC84/BZ84</f>
        <v>11.682242990654204</v>
      </c>
      <c r="DG84" s="19">
        <f>BK84/BI84</f>
        <v>0.5</v>
      </c>
      <c r="DH84" s="20">
        <f>AH84/BN84</f>
        <v>786.68145161290329</v>
      </c>
      <c r="DI84" s="19">
        <f>(BK84/0.46)/((O84/0.023)*(CD84/0.017))^0.5</f>
        <v>9.7544858087118838E-2</v>
      </c>
      <c r="DJ84" s="22">
        <f>BN84/CA84</f>
        <v>160</v>
      </c>
      <c r="DK84" s="22">
        <f>CG84/CT84</f>
        <v>15.867768595041323</v>
      </c>
      <c r="DL84" s="22">
        <f>CG84/CK84</f>
        <v>2.9605142332415055</v>
      </c>
      <c r="DM84" s="22">
        <f>BN84/BZ84</f>
        <v>23.177570093457945</v>
      </c>
      <c r="DN84" s="76">
        <f>BL84/BQ84</f>
        <v>0.11320754716981132</v>
      </c>
      <c r="DO84" s="22">
        <f>BR84/BZ84</f>
        <v>5.0467289719626169</v>
      </c>
      <c r="DP84" s="20">
        <f>AY84/BZ84</f>
        <v>428.03738317757006</v>
      </c>
      <c r="DQ84" s="22">
        <f>AY84/BQ84</f>
        <v>15.711835334476845</v>
      </c>
      <c r="DR84" s="22">
        <f>AY84/(((BR84/0.195)*(BT84/0.259))^0.5)</f>
        <v>20.914840750220534</v>
      </c>
      <c r="DS84" s="19">
        <f>(BS84/0.074)/(((BR84/0.195)*(BT84/0.259))^0.5)</f>
        <v>0.62944463487622282</v>
      </c>
      <c r="DT84" s="23">
        <f>1/AY84</f>
        <v>1.0917030567685589E-3</v>
      </c>
      <c r="DU84" s="22">
        <f>BJ84/BI84</f>
        <v>11.583333333333334</v>
      </c>
      <c r="DV84" s="22">
        <f>BK84/BM84</f>
        <v>16.438356164383563</v>
      </c>
      <c r="DW84" s="22">
        <f>1.74+LOG(BK84/BI84)-1.92*LOG(BJ84/BI84)</f>
        <v>-0.60359041974040406</v>
      </c>
      <c r="DX84" s="22">
        <f>BK84*100/BJ84</f>
        <v>4.3165467625899279</v>
      </c>
      <c r="DY84" s="22">
        <f>CC84*100/BJ84</f>
        <v>8.9928057553956826</v>
      </c>
      <c r="DZ84" s="19">
        <f>EK84*100/AY84</f>
        <v>1.745235623097984</v>
      </c>
      <c r="EA84" s="23"/>
      <c r="EB84" s="19">
        <f>CC84/BK84</f>
        <v>2.0833333333333335</v>
      </c>
      <c r="EC84" s="19">
        <f>(CB84/0.144)/(CH84*CI84)^(1/2)</f>
        <v>0.91188156201131143</v>
      </c>
      <c r="ED84" s="19"/>
      <c r="EE84" s="19">
        <f t="shared" si="186"/>
        <v>49.117506684151266</v>
      </c>
      <c r="EF84" s="19">
        <f t="shared" si="186"/>
        <v>0.72981200969375704</v>
      </c>
      <c r="EG84" s="19">
        <f t="shared" si="186"/>
        <v>11.074607639162407</v>
      </c>
      <c r="EH84" s="19">
        <f t="shared" si="186"/>
        <v>6.9547609228530787</v>
      </c>
      <c r="EI84" s="19">
        <f t="shared" si="186"/>
        <v>0.12742749375605281</v>
      </c>
      <c r="EJ84" s="19">
        <f t="shared" si="186"/>
        <v>9.2674540913492951</v>
      </c>
      <c r="EK84" s="19">
        <f t="shared" si="186"/>
        <v>15.986358307577534</v>
      </c>
      <c r="EL84" s="19">
        <f t="shared" si="186"/>
        <v>0.90357677390655622</v>
      </c>
      <c r="EM84" s="19">
        <f t="shared" si="186"/>
        <v>5.4446292786677111</v>
      </c>
      <c r="EN84" s="19">
        <f t="shared" si="186"/>
        <v>0.39386679888234505</v>
      </c>
      <c r="EO84" s="19">
        <f t="shared" si="187"/>
        <v>100</v>
      </c>
    </row>
    <row r="85" spans="1:145" s="36" customFormat="1">
      <c r="A85" s="36" t="s">
        <v>170</v>
      </c>
      <c r="B85" s="36">
        <v>5</v>
      </c>
      <c r="C85" s="36" t="s">
        <v>163</v>
      </c>
      <c r="D85" s="36" t="s">
        <v>202</v>
      </c>
      <c r="E85" s="36" t="s">
        <v>201</v>
      </c>
      <c r="G85" s="19">
        <v>39.6</v>
      </c>
      <c r="H85" s="19">
        <v>0.69</v>
      </c>
      <c r="I85" s="19">
        <v>9.1300000000000008</v>
      </c>
      <c r="J85" s="19">
        <v>7.0027000000000008</v>
      </c>
      <c r="K85" s="19">
        <v>0.12</v>
      </c>
      <c r="L85" s="19">
        <v>12.7</v>
      </c>
      <c r="M85" s="19">
        <v>12.5</v>
      </c>
      <c r="N85" s="19">
        <v>0.53</v>
      </c>
      <c r="O85" s="19">
        <v>4.67</v>
      </c>
      <c r="P85" s="19">
        <v>0.44</v>
      </c>
      <c r="Q85" s="19">
        <v>5.04</v>
      </c>
      <c r="R85" s="19">
        <v>7.42</v>
      </c>
      <c r="S85" s="19">
        <f t="shared" si="169"/>
        <v>99.842700000000008</v>
      </c>
      <c r="U85" s="75"/>
      <c r="W85" s="19"/>
      <c r="X85" s="19"/>
      <c r="Y85" s="19"/>
      <c r="Z85" s="19"/>
      <c r="AA85" s="19"/>
      <c r="AB85" s="22"/>
      <c r="AC85" s="22"/>
      <c r="AF85" s="19">
        <f t="shared" si="170"/>
        <v>0.80866964336654923</v>
      </c>
      <c r="AG85" s="20">
        <f t="shared" si="171"/>
        <v>4136.5499999999993</v>
      </c>
      <c r="AH85" s="20">
        <f t="shared" si="172"/>
        <v>38770.339999999997</v>
      </c>
      <c r="AI85" s="20">
        <f t="shared" si="173"/>
        <v>1920.16</v>
      </c>
      <c r="AJ85" s="19">
        <f t="shared" si="174"/>
        <v>5.2</v>
      </c>
      <c r="AK85" s="19">
        <f t="shared" si="175"/>
        <v>8.8113207547169807</v>
      </c>
      <c r="AL85" s="19">
        <f t="shared" si="176"/>
        <v>0.11349036402569594</v>
      </c>
      <c r="AM85" s="19">
        <f t="shared" si="177"/>
        <v>1.3691128148959473</v>
      </c>
      <c r="AN85" s="19">
        <f t="shared" si="178"/>
        <v>0.51150054764512587</v>
      </c>
      <c r="AO85" s="19">
        <f t="shared" si="179"/>
        <v>0.6491324952408779</v>
      </c>
      <c r="AP85" s="19">
        <f t="shared" si="180"/>
        <v>1.5405175481608318</v>
      </c>
      <c r="AQ85" s="19">
        <f t="shared" si="181"/>
        <v>0.31863981628000088</v>
      </c>
      <c r="AR85" s="20">
        <f t="shared" si="182"/>
        <v>1333.2340185063374</v>
      </c>
      <c r="AS85" s="20">
        <f t="shared" si="183"/>
        <v>2456.7082160689674</v>
      </c>
      <c r="AU85" s="19">
        <f t="shared" si="184"/>
        <v>0.11792929292929293</v>
      </c>
      <c r="AV85" s="19">
        <f t="shared" si="185"/>
        <v>0.5536368984914759</v>
      </c>
      <c r="AX85" s="20">
        <v>330</v>
      </c>
      <c r="AY85" s="20">
        <v>1154</v>
      </c>
      <c r="AZ85" s="20">
        <v>545</v>
      </c>
      <c r="BA85" s="22"/>
      <c r="BB85" s="22"/>
      <c r="BC85" s="22">
        <v>100</v>
      </c>
      <c r="BD85" s="22">
        <v>595</v>
      </c>
      <c r="BE85" s="22">
        <v>33.5</v>
      </c>
      <c r="BF85" s="22">
        <v>163</v>
      </c>
      <c r="BG85" s="22">
        <v>34</v>
      </c>
      <c r="BH85" s="22">
        <v>98</v>
      </c>
      <c r="BI85" s="36">
        <v>23</v>
      </c>
      <c r="BJ85" s="20">
        <v>306</v>
      </c>
      <c r="BK85" s="20">
        <v>12</v>
      </c>
      <c r="BL85" s="22">
        <v>7.15</v>
      </c>
      <c r="BM85" s="22">
        <v>0.75</v>
      </c>
      <c r="BN85" s="20">
        <v>54.7</v>
      </c>
      <c r="BO85" s="20">
        <v>129</v>
      </c>
      <c r="BP85" s="20">
        <v>15.3</v>
      </c>
      <c r="BQ85" s="22">
        <v>66</v>
      </c>
      <c r="BR85" s="22">
        <v>12.4</v>
      </c>
      <c r="BS85" s="22">
        <v>2.2999999999999998</v>
      </c>
      <c r="BT85" s="22">
        <v>9.69</v>
      </c>
      <c r="BU85" s="22">
        <v>1.1299999999999999</v>
      </c>
      <c r="BV85" s="22">
        <v>5.91</v>
      </c>
      <c r="BW85" s="19">
        <v>0.95</v>
      </c>
      <c r="BX85" s="19">
        <v>2.58</v>
      </c>
      <c r="BY85" s="19">
        <v>0.32</v>
      </c>
      <c r="BZ85" s="22">
        <v>1.9</v>
      </c>
      <c r="CA85" s="19">
        <v>0.28999999999999998</v>
      </c>
      <c r="CB85" s="20">
        <v>23</v>
      </c>
      <c r="CC85" s="20">
        <v>29</v>
      </c>
      <c r="CD85" s="22">
        <v>6.8</v>
      </c>
      <c r="CE85" s="22"/>
      <c r="CG85" s="22">
        <f>BN85/0.242</f>
        <v>226.03305785123968</v>
      </c>
      <c r="CH85" s="22">
        <f>BO85/0.635</f>
        <v>203.14960629921259</v>
      </c>
      <c r="CI85" s="22">
        <f>BP85/0.0963</f>
        <v>158.87850467289721</v>
      </c>
      <c r="CJ85" s="22">
        <f>BQ85/0.48</f>
        <v>137.5</v>
      </c>
      <c r="CK85" s="22">
        <f>BR85/0.156</f>
        <v>79.487179487179489</v>
      </c>
      <c r="CL85" s="22">
        <f>BS85/0.0591</f>
        <v>38.917089678510997</v>
      </c>
      <c r="CM85" s="22">
        <f>BT85/0.212</f>
        <v>45.70754716981132</v>
      </c>
      <c r="CN85" s="22">
        <f>BU85/0.0376</f>
        <v>30.053191489361698</v>
      </c>
      <c r="CO85" s="22">
        <f>BV85/0.259</f>
        <v>22.81853281853282</v>
      </c>
      <c r="CP85" s="22">
        <f>BW85/0.0585</f>
        <v>16.239316239316238</v>
      </c>
      <c r="CQ85" s="22">
        <f>BX85/0.163</f>
        <v>15.828220858895705</v>
      </c>
      <c r="CR85" s="22">
        <f>BY85/0.0256</f>
        <v>12.5</v>
      </c>
      <c r="CS85" s="22">
        <f>BZ85/0.166</f>
        <v>11.445783132530119</v>
      </c>
      <c r="CT85" s="22">
        <f>CA85/0.024</f>
        <v>12.083333333333332</v>
      </c>
      <c r="CU85" s="22">
        <f>AZ85/BK85</f>
        <v>45.416666666666664</v>
      </c>
      <c r="CV85" s="22">
        <f>AZ85/BN85</f>
        <v>9.963436928702011</v>
      </c>
      <c r="CW85" s="22">
        <f>BN85/BK85</f>
        <v>4.5583333333333336</v>
      </c>
      <c r="CX85" s="20">
        <f>AG85/BK85</f>
        <v>344.71249999999992</v>
      </c>
      <c r="CY85" s="22">
        <f>BO85/CB85</f>
        <v>5.6086956521739131</v>
      </c>
      <c r="CZ85" s="22">
        <f>BK85/CD85</f>
        <v>1.7647058823529411</v>
      </c>
      <c r="DA85" s="22">
        <f>AX85/BR85</f>
        <v>26.612903225806452</v>
      </c>
      <c r="DB85" s="22">
        <f>BJ85/BK85</f>
        <v>25.5</v>
      </c>
      <c r="DC85" s="22">
        <f>AZ85/CC85</f>
        <v>18.793103448275861</v>
      </c>
      <c r="DD85" s="22">
        <f>CC85/BM85</f>
        <v>38.666666666666664</v>
      </c>
      <c r="DE85" s="22">
        <f>BM85/BZ85</f>
        <v>0.39473684210526316</v>
      </c>
      <c r="DF85" s="22">
        <f>CC85/BZ85</f>
        <v>15.263157894736842</v>
      </c>
      <c r="DG85" s="19">
        <f>BK85/BI85</f>
        <v>0.52173913043478259</v>
      </c>
      <c r="DH85" s="20">
        <f>AH85/BN85</f>
        <v>708.78135283363792</v>
      </c>
      <c r="DI85" s="19">
        <f>(BK85/0.46)/((O85/0.023)*(CD85/0.017))^0.5</f>
        <v>9.1537468232928354E-2</v>
      </c>
      <c r="DJ85" s="22">
        <f>BN85/CA85</f>
        <v>188.62068965517244</v>
      </c>
      <c r="DK85" s="22">
        <f>CG85/CT85</f>
        <v>18.706184098033631</v>
      </c>
      <c r="DL85" s="22">
        <f>CG85/CK85</f>
        <v>2.8436416955478538</v>
      </c>
      <c r="DM85" s="22">
        <f>BN85/BZ85</f>
        <v>28.789473684210527</v>
      </c>
      <c r="DN85" s="76">
        <f>BL85/BQ85</f>
        <v>0.10833333333333334</v>
      </c>
      <c r="DO85" s="22">
        <f>BR85/BZ85</f>
        <v>6.526315789473685</v>
      </c>
      <c r="DP85" s="20">
        <f>AY85/BZ85</f>
        <v>607.36842105263156</v>
      </c>
      <c r="DQ85" s="22">
        <f>AY85/BQ85</f>
        <v>17.484848484848484</v>
      </c>
      <c r="DR85" s="22">
        <f>AY85/(((BR85/0.195)*(BT85/0.259))^0.5)</f>
        <v>23.659211435053216</v>
      </c>
      <c r="DS85" s="19">
        <f>(BS85/0.074)/(((BR85/0.195)*(BT85/0.259))^0.5)</f>
        <v>0.63722172350721806</v>
      </c>
      <c r="DT85" s="23">
        <f>1/AY85</f>
        <v>8.6655112651646442E-4</v>
      </c>
      <c r="DU85" s="22">
        <f>BJ85/BI85</f>
        <v>13.304347826086957</v>
      </c>
      <c r="DV85" s="22">
        <f>BK85/BM85</f>
        <v>16</v>
      </c>
      <c r="DW85" s="22">
        <f>1.74+LOG(BK85/BI85)-1.92*LOG(BJ85/BI85)</f>
        <v>-0.70061428366082312</v>
      </c>
      <c r="DX85" s="22">
        <f>BK85*100/BJ85</f>
        <v>3.9215686274509802</v>
      </c>
      <c r="DY85" s="22">
        <f>CC85*100/BJ85</f>
        <v>9.477124183006536</v>
      </c>
      <c r="DZ85" s="19">
        <f>EK85*100/AY85</f>
        <v>1.2395919422787125</v>
      </c>
      <c r="EA85" s="23"/>
      <c r="EB85" s="19">
        <f>CC85/BK85</f>
        <v>2.4166666666666665</v>
      </c>
      <c r="EC85" s="19">
        <f>(CB85/0.144)/(CH85*CI85)^(1/2)</f>
        <v>0.88904712028430599</v>
      </c>
      <c r="ED85" s="19"/>
      <c r="EE85" s="19">
        <f t="shared" si="186"/>
        <v>45.317894732023618</v>
      </c>
      <c r="EF85" s="19">
        <f t="shared" si="186"/>
        <v>0.78962998396707818</v>
      </c>
      <c r="EG85" s="19">
        <f t="shared" si="186"/>
        <v>10.44829239654989</v>
      </c>
      <c r="EH85" s="19">
        <f t="shared" si="186"/>
        <v>8.0138288242409548</v>
      </c>
      <c r="EI85" s="19">
        <f t="shared" si="186"/>
        <v>0.13732695373340489</v>
      </c>
      <c r="EJ85" s="19">
        <f t="shared" si="186"/>
        <v>14.533769270118684</v>
      </c>
      <c r="EK85" s="19">
        <f t="shared" si="186"/>
        <v>14.304891013896343</v>
      </c>
      <c r="EL85" s="19">
        <f t="shared" si="186"/>
        <v>0.60652737898920495</v>
      </c>
      <c r="EM85" s="19">
        <f t="shared" si="186"/>
        <v>5.3443072827916742</v>
      </c>
      <c r="EN85" s="19">
        <f t="shared" si="186"/>
        <v>0.50353216368915132</v>
      </c>
      <c r="EO85" s="19">
        <f t="shared" si="187"/>
        <v>100</v>
      </c>
    </row>
    <row r="86" spans="1:145" s="36" customFormat="1">
      <c r="A86" s="36" t="s">
        <v>170</v>
      </c>
      <c r="B86" s="36">
        <v>5</v>
      </c>
      <c r="C86" s="36" t="s">
        <v>163</v>
      </c>
      <c r="D86" s="36" t="s">
        <v>200</v>
      </c>
      <c r="E86" s="36" t="s">
        <v>161</v>
      </c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U86" s="75">
        <v>0.71053999999999995</v>
      </c>
      <c r="V86" s="36">
        <v>0.51207199999999997</v>
      </c>
      <c r="W86" s="19"/>
      <c r="X86" s="19"/>
      <c r="Y86" s="19"/>
      <c r="Z86" s="19"/>
      <c r="AA86" s="19"/>
      <c r="AB86" s="22"/>
      <c r="AC86" s="22"/>
      <c r="AF86" s="19"/>
      <c r="AG86" s="20"/>
      <c r="AH86" s="20"/>
      <c r="AI86" s="20"/>
      <c r="AJ86" s="19"/>
      <c r="AK86" s="19"/>
      <c r="AL86" s="19"/>
      <c r="AM86" s="19"/>
      <c r="AN86" s="19"/>
      <c r="AO86" s="19"/>
      <c r="AP86" s="19"/>
      <c r="AQ86" s="19"/>
      <c r="AR86" s="20"/>
      <c r="AS86" s="20"/>
      <c r="AU86" s="19"/>
      <c r="AV86" s="19"/>
      <c r="AX86" s="20"/>
      <c r="AY86" s="20"/>
      <c r="AZ86" s="20"/>
      <c r="BA86" s="22"/>
      <c r="BB86" s="22"/>
      <c r="BC86" s="22"/>
      <c r="BD86" s="22"/>
      <c r="BE86" s="22"/>
      <c r="BF86" s="22"/>
      <c r="BG86" s="22"/>
      <c r="BH86" s="22"/>
      <c r="BJ86" s="20"/>
      <c r="BK86" s="20"/>
      <c r="BL86" s="22"/>
      <c r="BM86" s="22"/>
      <c r="BN86" s="20"/>
      <c r="BO86" s="20"/>
      <c r="BP86" s="20"/>
      <c r="BQ86" s="22"/>
      <c r="BR86" s="22"/>
      <c r="BS86" s="22"/>
      <c r="BT86" s="22"/>
      <c r="BU86" s="22"/>
      <c r="BV86" s="22"/>
      <c r="BW86" s="19"/>
      <c r="BX86" s="19"/>
      <c r="BY86" s="19"/>
      <c r="BZ86" s="22"/>
      <c r="CA86" s="19"/>
      <c r="CB86" s="20"/>
      <c r="CC86" s="20"/>
      <c r="CD86" s="22"/>
      <c r="CE86" s="22"/>
      <c r="CG86" s="22"/>
      <c r="CH86" s="22"/>
      <c r="CI86" s="22"/>
      <c r="CJ86" s="22"/>
      <c r="CK86" s="22"/>
      <c r="CL86" s="22"/>
      <c r="CM86" s="22"/>
      <c r="CN86" s="22"/>
      <c r="CO86" s="22"/>
      <c r="CP86" s="22"/>
      <c r="CQ86" s="22"/>
      <c r="CR86" s="22"/>
      <c r="CS86" s="22"/>
      <c r="CT86" s="22"/>
      <c r="CU86" s="22"/>
      <c r="CV86" s="22"/>
      <c r="CW86" s="22"/>
      <c r="CX86" s="20"/>
      <c r="CY86" s="22"/>
      <c r="CZ86" s="22"/>
      <c r="DA86" s="22"/>
      <c r="DB86" s="22"/>
      <c r="DC86" s="22"/>
      <c r="DD86" s="22"/>
      <c r="DE86" s="22"/>
      <c r="DF86" s="22"/>
      <c r="DG86" s="19"/>
      <c r="DH86" s="20"/>
      <c r="DI86" s="19"/>
      <c r="DJ86" s="22"/>
      <c r="DK86" s="22"/>
      <c r="DL86" s="22"/>
      <c r="DM86" s="22"/>
      <c r="DN86" s="76"/>
      <c r="DO86" s="22"/>
      <c r="DP86" s="20"/>
      <c r="DQ86" s="22"/>
      <c r="DR86" s="22"/>
      <c r="DS86" s="19"/>
      <c r="DT86" s="23"/>
      <c r="DU86" s="22"/>
      <c r="DV86" s="22"/>
      <c r="DW86" s="22"/>
      <c r="DX86" s="22"/>
      <c r="DY86" s="22"/>
      <c r="DZ86" s="19"/>
      <c r="EA86" s="23"/>
      <c r="EB86" s="19"/>
      <c r="EC86" s="19"/>
      <c r="ED86" s="19"/>
      <c r="EE86" s="19"/>
      <c r="EF86" s="19"/>
      <c r="EG86" s="19"/>
      <c r="EH86" s="19"/>
      <c r="EI86" s="19"/>
      <c r="EJ86" s="19"/>
      <c r="EK86" s="19"/>
      <c r="EL86" s="19"/>
      <c r="EM86" s="19"/>
      <c r="EN86" s="19"/>
      <c r="EO86" s="19"/>
    </row>
    <row r="87" spans="1:145" s="36" customFormat="1">
      <c r="A87" s="36" t="s">
        <v>170</v>
      </c>
      <c r="B87" s="36">
        <v>5</v>
      </c>
      <c r="C87" s="36" t="s">
        <v>169</v>
      </c>
      <c r="D87" s="36" t="s">
        <v>194</v>
      </c>
      <c r="E87" s="36" t="s">
        <v>63</v>
      </c>
      <c r="G87" s="19">
        <v>41.82</v>
      </c>
      <c r="H87" s="19">
        <v>0.79</v>
      </c>
      <c r="I87" s="19">
        <v>10.39</v>
      </c>
      <c r="J87" s="19">
        <v>7.57</v>
      </c>
      <c r="K87" s="19">
        <v>0.13</v>
      </c>
      <c r="L87" s="19">
        <v>12.56</v>
      </c>
      <c r="M87" s="19">
        <v>15.69</v>
      </c>
      <c r="N87" s="19">
        <v>1.1000000000000001</v>
      </c>
      <c r="O87" s="19">
        <v>7.73</v>
      </c>
      <c r="P87" s="19">
        <v>0.41</v>
      </c>
      <c r="Q87" s="19"/>
      <c r="R87" s="19"/>
      <c r="S87" s="19">
        <f>SUM(G87:R87)</f>
        <v>98.19</v>
      </c>
      <c r="U87" s="75"/>
      <c r="W87" s="19"/>
      <c r="X87" s="19"/>
      <c r="Y87" s="19"/>
      <c r="Z87" s="19"/>
      <c r="AA87" s="19"/>
      <c r="AB87" s="22"/>
      <c r="AC87" s="22"/>
      <c r="AF87" s="19">
        <f>(L87/40.31)/((L87/40.31)+(J87-(J87*0.15))*0.8998/71.85)</f>
        <v>0.7945228354391054</v>
      </c>
      <c r="AG87" s="20"/>
      <c r="AH87" s="20"/>
      <c r="AI87" s="20"/>
      <c r="AJ87" s="19">
        <f>N87+O87</f>
        <v>8.83</v>
      </c>
      <c r="AK87" s="19">
        <f>O87/N87</f>
        <v>7.0272727272727273</v>
      </c>
      <c r="AL87" s="19">
        <f>N87/O87</f>
        <v>0.14230271668822769</v>
      </c>
      <c r="AM87" s="19"/>
      <c r="AN87" s="19">
        <f>O87/I87</f>
        <v>0.74398460057747839</v>
      </c>
      <c r="AO87" s="19"/>
      <c r="AP87" s="19"/>
      <c r="AQ87" s="19"/>
      <c r="AR87" s="20"/>
      <c r="AS87" s="20"/>
      <c r="AU87" s="19">
        <f>O87/G87</f>
        <v>0.18483978957436634</v>
      </c>
      <c r="AV87" s="19">
        <f>(O87/94.2)/(I87/101.96)</f>
        <v>0.80527250397961447</v>
      </c>
      <c r="AX87" s="20"/>
      <c r="AY87" s="20"/>
      <c r="AZ87" s="20"/>
      <c r="BA87" s="22"/>
      <c r="BB87" s="22"/>
      <c r="BC87" s="22"/>
      <c r="BD87" s="22"/>
      <c r="BE87" s="22"/>
      <c r="BF87" s="22"/>
      <c r="BG87" s="22"/>
      <c r="BH87" s="22"/>
      <c r="BJ87" s="20"/>
      <c r="BK87" s="20"/>
      <c r="BL87" s="22"/>
      <c r="BM87" s="22"/>
      <c r="BN87" s="20"/>
      <c r="BO87" s="20"/>
      <c r="BP87" s="20"/>
      <c r="BQ87" s="22"/>
      <c r="BR87" s="22"/>
      <c r="BS87" s="22"/>
      <c r="BT87" s="22"/>
      <c r="BU87" s="22"/>
      <c r="BV87" s="22"/>
      <c r="BW87" s="19"/>
      <c r="BX87" s="19"/>
      <c r="BY87" s="19"/>
      <c r="BZ87" s="22"/>
      <c r="CA87" s="19"/>
      <c r="CB87" s="20"/>
      <c r="CC87" s="20"/>
      <c r="CD87" s="22"/>
      <c r="CE87" s="22"/>
      <c r="CG87" s="22"/>
      <c r="CH87" s="22"/>
      <c r="CI87" s="22"/>
      <c r="CJ87" s="22"/>
      <c r="CK87" s="22"/>
      <c r="CL87" s="22"/>
      <c r="CM87" s="22"/>
      <c r="CN87" s="22"/>
      <c r="CO87" s="22"/>
      <c r="CP87" s="22"/>
      <c r="CQ87" s="22"/>
      <c r="CR87" s="22"/>
      <c r="CS87" s="22"/>
      <c r="CT87" s="22"/>
      <c r="CU87" s="22"/>
      <c r="CV87" s="22"/>
      <c r="CW87" s="22"/>
      <c r="CX87" s="20"/>
      <c r="CY87" s="22"/>
      <c r="CZ87" s="22"/>
      <c r="DA87" s="22"/>
      <c r="DB87" s="22"/>
      <c r="DC87" s="22"/>
      <c r="DD87" s="22"/>
      <c r="DE87" s="22"/>
      <c r="DF87" s="22"/>
      <c r="DG87" s="19"/>
      <c r="DH87" s="20"/>
      <c r="DI87" s="19"/>
      <c r="DJ87" s="22"/>
      <c r="DK87" s="22"/>
      <c r="DL87" s="22"/>
      <c r="DM87" s="22"/>
      <c r="DN87" s="76"/>
      <c r="DO87" s="22"/>
      <c r="DP87" s="20"/>
      <c r="DQ87" s="22"/>
      <c r="DR87" s="22"/>
      <c r="DS87" s="19"/>
      <c r="DT87" s="23"/>
      <c r="DU87" s="22"/>
      <c r="DV87" s="22"/>
      <c r="DW87" s="22"/>
      <c r="DX87" s="22"/>
      <c r="DY87" s="22"/>
      <c r="DZ87" s="19"/>
      <c r="EA87" s="23"/>
      <c r="EB87" s="19"/>
      <c r="EC87" s="19"/>
      <c r="ED87" s="19"/>
      <c r="EE87" s="19"/>
      <c r="EF87" s="19"/>
      <c r="EG87" s="19"/>
      <c r="EH87" s="19"/>
      <c r="EI87" s="19"/>
      <c r="EJ87" s="19"/>
      <c r="EK87" s="19"/>
      <c r="EL87" s="19"/>
      <c r="EM87" s="19"/>
      <c r="EN87" s="19"/>
      <c r="EO87" s="19"/>
    </row>
    <row r="88" spans="1:145" s="36" customFormat="1">
      <c r="A88" s="36" t="s">
        <v>170</v>
      </c>
      <c r="B88" s="36">
        <v>5</v>
      </c>
      <c r="C88" s="36" t="s">
        <v>163</v>
      </c>
      <c r="D88" s="36" t="s">
        <v>199</v>
      </c>
      <c r="E88" s="36" t="s">
        <v>198</v>
      </c>
      <c r="G88" s="19">
        <v>41.43</v>
      </c>
      <c r="H88" s="36">
        <v>0.28999999999999998</v>
      </c>
      <c r="I88" s="19">
        <v>9.8000000000000007</v>
      </c>
      <c r="J88" s="19">
        <v>9</v>
      </c>
      <c r="K88" s="19"/>
      <c r="L88" s="19">
        <v>13.4</v>
      </c>
      <c r="M88" s="19">
        <v>16.62</v>
      </c>
      <c r="N88" s="19">
        <v>1.64</v>
      </c>
      <c r="O88" s="19">
        <v>7.4</v>
      </c>
      <c r="P88" s="19"/>
      <c r="Q88" s="19">
        <v>1.1100000000000001</v>
      </c>
      <c r="R88" s="19"/>
      <c r="S88" s="19">
        <f>SUM(G88:R88)</f>
        <v>100.69000000000001</v>
      </c>
      <c r="U88" s="75"/>
      <c r="W88" s="19"/>
      <c r="X88" s="19"/>
      <c r="Y88" s="19"/>
      <c r="Z88" s="19"/>
      <c r="AA88" s="19"/>
      <c r="AB88" s="22"/>
      <c r="AC88" s="22"/>
      <c r="AF88" s="19">
        <f>(L88/40.31)/((L88/40.31)+(J88-(J88*0.15))*0.8998/71.85)</f>
        <v>0.77627910511505516</v>
      </c>
      <c r="AG88" s="20">
        <f>H88*5995</f>
        <v>1738.55</v>
      </c>
      <c r="AH88" s="20">
        <f>O88*8302</f>
        <v>61434.8</v>
      </c>
      <c r="AI88" s="20"/>
      <c r="AJ88" s="19">
        <f>N88+O88</f>
        <v>9.0400000000000009</v>
      </c>
      <c r="AK88" s="19">
        <f>O88/N88</f>
        <v>4.51219512195122</v>
      </c>
      <c r="AL88" s="19">
        <f>N88/O88</f>
        <v>0.22162162162162161</v>
      </c>
      <c r="AM88" s="19">
        <f>EK88/EG88</f>
        <v>1.6959183673469387</v>
      </c>
      <c r="AN88" s="19">
        <f>O88/I88</f>
        <v>0.75510204081632648</v>
      </c>
      <c r="AO88" s="19">
        <f>(EL88/61.98+EM88/94.2)/(EG88/101.96)</f>
        <v>1.092599320143149</v>
      </c>
      <c r="AP88" s="19">
        <f>1/AO88</f>
        <v>0.91524860171886535</v>
      </c>
      <c r="AQ88" s="19">
        <f>(EG88/101.96)/((EK88/56.08)+(EL88/61.98)+(EM88/94.2))</f>
        <v>0.23946490360571854</v>
      </c>
      <c r="AR88" s="20">
        <f>1000*(4*(EE88/60.08)-11*(EL88/61.98*2+EM88/94.2*2)-2*(EH88/159.69*2+EF88/79.87))</f>
        <v>216.17051146964124</v>
      </c>
      <c r="AS88" s="20">
        <f>1000*(6*(EK88/56.08)+2*(EJ88/40.3)+EG88/101.96*2)</f>
        <v>2646.5341353465869</v>
      </c>
      <c r="AU88" s="19">
        <f>O88/G88</f>
        <v>0.1786145305334299</v>
      </c>
      <c r="AV88" s="19">
        <f>(O88/94.2)/(I88/101.96)</f>
        <v>0.81730577581350994</v>
      </c>
      <c r="AX88" s="20"/>
      <c r="AY88" s="20"/>
      <c r="AZ88" s="20"/>
      <c r="BA88" s="22"/>
      <c r="BB88" s="22"/>
      <c r="BC88" s="22"/>
      <c r="BD88" s="22"/>
      <c r="BE88" s="22"/>
      <c r="BF88" s="22"/>
      <c r="BG88" s="22"/>
      <c r="BH88" s="22"/>
      <c r="BJ88" s="20"/>
      <c r="BK88" s="20"/>
      <c r="BL88" s="22"/>
      <c r="BM88" s="22"/>
      <c r="BN88" s="20"/>
      <c r="BO88" s="20"/>
      <c r="BP88" s="20"/>
      <c r="BQ88" s="22"/>
      <c r="BR88" s="22"/>
      <c r="BS88" s="22"/>
      <c r="BT88" s="22"/>
      <c r="BU88" s="22"/>
      <c r="BV88" s="22"/>
      <c r="BW88" s="19"/>
      <c r="BX88" s="19"/>
      <c r="BY88" s="19"/>
      <c r="BZ88" s="22"/>
      <c r="CA88" s="19"/>
      <c r="CB88" s="20"/>
      <c r="CC88" s="20"/>
      <c r="CD88" s="22"/>
      <c r="CE88" s="22"/>
      <c r="CG88" s="22"/>
      <c r="CH88" s="22"/>
      <c r="CI88" s="22"/>
      <c r="CJ88" s="22"/>
      <c r="CK88" s="22"/>
      <c r="CL88" s="22"/>
      <c r="CM88" s="22"/>
      <c r="CN88" s="22"/>
      <c r="CO88" s="22"/>
      <c r="CP88" s="22"/>
      <c r="CQ88" s="22"/>
      <c r="CR88" s="22"/>
      <c r="CS88" s="22"/>
      <c r="CT88" s="22"/>
      <c r="CU88" s="22"/>
      <c r="CV88" s="22"/>
      <c r="CW88" s="22"/>
      <c r="CX88" s="20"/>
      <c r="CY88" s="22"/>
      <c r="CZ88" s="22"/>
      <c r="DA88" s="22"/>
      <c r="DB88" s="22"/>
      <c r="DC88" s="22"/>
      <c r="DD88" s="22"/>
      <c r="DE88" s="22"/>
      <c r="DF88" s="22"/>
      <c r="DG88" s="19"/>
      <c r="DH88" s="20"/>
      <c r="DI88" s="19"/>
      <c r="DJ88" s="22"/>
      <c r="DK88" s="22"/>
      <c r="DL88" s="22"/>
      <c r="DM88" s="22"/>
      <c r="DN88" s="76"/>
      <c r="DO88" s="22"/>
      <c r="DP88" s="20"/>
      <c r="DQ88" s="22"/>
      <c r="DR88" s="22"/>
      <c r="DS88" s="19"/>
      <c r="DT88" s="23"/>
      <c r="DU88" s="22"/>
      <c r="DV88" s="22"/>
      <c r="DW88" s="22"/>
      <c r="DX88" s="22"/>
      <c r="DY88" s="22"/>
      <c r="DZ88" s="19"/>
      <c r="EA88" s="23"/>
      <c r="EB88" s="19"/>
      <c r="EC88" s="19"/>
      <c r="ED88" s="19"/>
      <c r="EE88" s="19">
        <f t="shared" ref="EE88:EH90" si="188">100*G88/($G88+$H88+$I88+$J88+$K88+$L88+$M88+$N88+$O88+$P88)</f>
        <v>41.604739907611965</v>
      </c>
      <c r="EF88" s="19">
        <f t="shared" si="188"/>
        <v>0.29122313717613973</v>
      </c>
      <c r="EG88" s="19">
        <f t="shared" si="188"/>
        <v>9.8413336011247239</v>
      </c>
      <c r="EH88" s="19">
        <f t="shared" si="188"/>
        <v>9.0379594296043368</v>
      </c>
      <c r="EI88" s="19"/>
      <c r="EJ88" s="19">
        <f t="shared" ref="EJ88:EN90" si="189">100*L88/($G88+$H88+$I88+$J88+$K88+$L88+$M88+$N88+$O88+$P88)</f>
        <v>13.456517372966458</v>
      </c>
      <c r="EK88" s="19">
        <f t="shared" si="189"/>
        <v>16.69009841333601</v>
      </c>
      <c r="EL88" s="19">
        <f t="shared" si="189"/>
        <v>1.6469170516167904</v>
      </c>
      <c r="EM88" s="19">
        <f t="shared" si="189"/>
        <v>7.4312110865635663</v>
      </c>
      <c r="EN88" s="19">
        <f t="shared" si="189"/>
        <v>0</v>
      </c>
      <c r="EO88" s="19">
        <f>SUM(EE88:EN88)</f>
        <v>99.999999999999986</v>
      </c>
    </row>
    <row r="89" spans="1:145" s="36" customFormat="1">
      <c r="A89" s="36" t="s">
        <v>170</v>
      </c>
      <c r="B89" s="36">
        <v>5</v>
      </c>
      <c r="C89" s="36" t="s">
        <v>163</v>
      </c>
      <c r="D89" s="36" t="s">
        <v>173</v>
      </c>
      <c r="E89" s="36" t="s">
        <v>197</v>
      </c>
      <c r="G89" s="19">
        <v>42.28</v>
      </c>
      <c r="H89" s="19">
        <v>0.48</v>
      </c>
      <c r="I89" s="19">
        <v>10.44</v>
      </c>
      <c r="J89" s="19">
        <v>7.11</v>
      </c>
      <c r="K89" s="19"/>
      <c r="L89" s="19">
        <v>13.08</v>
      </c>
      <c r="M89" s="19">
        <v>16.68</v>
      </c>
      <c r="N89" s="19">
        <v>1.76</v>
      </c>
      <c r="O89" s="19">
        <v>7.45</v>
      </c>
      <c r="P89" s="19">
        <v>0.41</v>
      </c>
      <c r="Q89" s="19">
        <v>0.36</v>
      </c>
      <c r="R89" s="19"/>
      <c r="S89" s="19">
        <f>SUM(G89:R89)</f>
        <v>100.05</v>
      </c>
      <c r="U89" s="75"/>
      <c r="W89" s="19"/>
      <c r="X89" s="19"/>
      <c r="Y89" s="19"/>
      <c r="Z89" s="19"/>
      <c r="AA89" s="19"/>
      <c r="AB89" s="22"/>
      <c r="AC89" s="22"/>
      <c r="AF89" s="19">
        <f>(L89/40.31)/((L89/40.31)+(J89-(J89*0.15))*0.8998/71.85)</f>
        <v>0.81086872613577421</v>
      </c>
      <c r="AG89" s="20">
        <f>H89*5995</f>
        <v>2877.6</v>
      </c>
      <c r="AH89" s="20">
        <f>O89*8302</f>
        <v>61849.9</v>
      </c>
      <c r="AI89" s="20">
        <f>P89*4364</f>
        <v>1789.2399999999998</v>
      </c>
      <c r="AJ89" s="19">
        <f>N89+O89</f>
        <v>9.2100000000000009</v>
      </c>
      <c r="AK89" s="19">
        <f>O89/N89</f>
        <v>4.2329545454545459</v>
      </c>
      <c r="AL89" s="19">
        <f>N89/O89</f>
        <v>0.23624161073825503</v>
      </c>
      <c r="AM89" s="19">
        <f>EK89/EG89</f>
        <v>1.5977011494252873</v>
      </c>
      <c r="AN89" s="19">
        <f>O89/I89</f>
        <v>0.71360153256704983</v>
      </c>
      <c r="AO89" s="19">
        <f>(EL89/61.98+EM89/94.2)/(EG89/101.96)</f>
        <v>1.0497124375558731</v>
      </c>
      <c r="AP89" s="19">
        <f>1/AO89</f>
        <v>0.95264185144683777</v>
      </c>
      <c r="AQ89" s="19">
        <f>(EG89/101.96)/((EK89/56.08)+(EL89/61.98)+(EM89/94.2))</f>
        <v>0.25287518967385259</v>
      </c>
      <c r="AR89" s="20">
        <f>1000*(4*(EE89/60.08)-11*(EL89/61.98*2+EM89/94.2*2)-2*(EH89/159.69*2+EF89/79.87))</f>
        <v>260.97515563616673</v>
      </c>
      <c r="AS89" s="20">
        <f>1000*(6*(EK89/56.08)+2*(EJ89/40.3)+EG89/101.96*2)</f>
        <v>2646.715961737827</v>
      </c>
      <c r="AU89" s="19">
        <f>O89/G89</f>
        <v>0.17620624408703878</v>
      </c>
      <c r="AV89" s="19">
        <f>(O89/94.2)/(I89/101.96)</f>
        <v>0.77238654204391077</v>
      </c>
      <c r="AX89" s="20"/>
      <c r="AY89" s="20"/>
      <c r="AZ89" s="20"/>
      <c r="BA89" s="22"/>
      <c r="BB89" s="22"/>
      <c r="BC89" s="22"/>
      <c r="BD89" s="22"/>
      <c r="BE89" s="22"/>
      <c r="BF89" s="22"/>
      <c r="BG89" s="22"/>
      <c r="BH89" s="22"/>
      <c r="BJ89" s="20"/>
      <c r="BK89" s="20"/>
      <c r="BL89" s="22"/>
      <c r="BM89" s="22"/>
      <c r="BN89" s="20"/>
      <c r="BO89" s="20"/>
      <c r="BP89" s="20"/>
      <c r="BQ89" s="22"/>
      <c r="BR89" s="22"/>
      <c r="BS89" s="22"/>
      <c r="BT89" s="22"/>
      <c r="BU89" s="22"/>
      <c r="BV89" s="22"/>
      <c r="BW89" s="19"/>
      <c r="BX89" s="19"/>
      <c r="BY89" s="19"/>
      <c r="BZ89" s="22"/>
      <c r="CA89" s="19"/>
      <c r="CB89" s="20"/>
      <c r="CC89" s="20"/>
      <c r="CD89" s="22"/>
      <c r="CE89" s="22"/>
      <c r="CG89" s="22"/>
      <c r="CH89" s="22"/>
      <c r="CI89" s="22"/>
      <c r="CJ89" s="22"/>
      <c r="CK89" s="22"/>
      <c r="CL89" s="22"/>
      <c r="CM89" s="22"/>
      <c r="CN89" s="22"/>
      <c r="CO89" s="22"/>
      <c r="CP89" s="22"/>
      <c r="CQ89" s="22"/>
      <c r="CR89" s="22"/>
      <c r="CS89" s="22"/>
      <c r="CT89" s="22"/>
      <c r="CU89" s="22"/>
      <c r="CV89" s="22"/>
      <c r="CW89" s="22"/>
      <c r="CX89" s="20"/>
      <c r="CY89" s="22"/>
      <c r="CZ89" s="22"/>
      <c r="DA89" s="22"/>
      <c r="DB89" s="22"/>
      <c r="DC89" s="22"/>
      <c r="DD89" s="22"/>
      <c r="DE89" s="22"/>
      <c r="DF89" s="22"/>
      <c r="DG89" s="19"/>
      <c r="DH89" s="20"/>
      <c r="DI89" s="19"/>
      <c r="DJ89" s="22"/>
      <c r="DK89" s="22"/>
      <c r="DL89" s="22"/>
      <c r="DM89" s="22"/>
      <c r="DN89" s="76"/>
      <c r="DO89" s="22"/>
      <c r="DP89" s="20"/>
      <c r="DQ89" s="22"/>
      <c r="DR89" s="22"/>
      <c r="DS89" s="19"/>
      <c r="DT89" s="23"/>
      <c r="DU89" s="22"/>
      <c r="DV89" s="22"/>
      <c r="DW89" s="22"/>
      <c r="DX89" s="22"/>
      <c r="DY89" s="22"/>
      <c r="DZ89" s="19"/>
      <c r="EA89" s="23"/>
      <c r="EB89" s="19"/>
      <c r="EC89" s="19"/>
      <c r="ED89" s="19"/>
      <c r="EE89" s="19">
        <f t="shared" si="188"/>
        <v>42.411475574280267</v>
      </c>
      <c r="EF89" s="19">
        <f t="shared" si="188"/>
        <v>0.48149262714414687</v>
      </c>
      <c r="EG89" s="19">
        <f t="shared" si="188"/>
        <v>10.472464640385194</v>
      </c>
      <c r="EH89" s="19">
        <f t="shared" si="188"/>
        <v>7.1321095395726752</v>
      </c>
      <c r="EI89" s="19"/>
      <c r="EJ89" s="19">
        <f t="shared" si="189"/>
        <v>13.120674089678003</v>
      </c>
      <c r="EK89" s="19">
        <f t="shared" si="189"/>
        <v>16.731868793259103</v>
      </c>
      <c r="EL89" s="19">
        <f t="shared" si="189"/>
        <v>1.7654729661952051</v>
      </c>
      <c r="EM89" s="19">
        <f t="shared" si="189"/>
        <v>7.4731668171331131</v>
      </c>
      <c r="EN89" s="19">
        <f t="shared" si="189"/>
        <v>0.41127495235229211</v>
      </c>
      <c r="EO89" s="19">
        <f>SUM(EE89:EN89)</f>
        <v>99.999999999999986</v>
      </c>
    </row>
    <row r="90" spans="1:145" s="36" customFormat="1">
      <c r="A90" s="36" t="s">
        <v>170</v>
      </c>
      <c r="B90" s="36">
        <v>5</v>
      </c>
      <c r="C90" s="36" t="s">
        <v>163</v>
      </c>
      <c r="D90" s="36" t="s">
        <v>196</v>
      </c>
      <c r="E90" s="36" t="s">
        <v>161</v>
      </c>
      <c r="G90" s="19">
        <v>41.57</v>
      </c>
      <c r="H90" s="19">
        <v>1.24</v>
      </c>
      <c r="I90" s="19">
        <v>10.89</v>
      </c>
      <c r="J90" s="19">
        <v>8.52</v>
      </c>
      <c r="K90" s="19"/>
      <c r="L90" s="19">
        <v>12.26</v>
      </c>
      <c r="M90" s="19">
        <v>16.05</v>
      </c>
      <c r="N90" s="19">
        <v>1.01</v>
      </c>
      <c r="O90" s="19">
        <v>7.1</v>
      </c>
      <c r="P90" s="19">
        <v>1.18</v>
      </c>
      <c r="Q90" s="19">
        <v>0.25</v>
      </c>
      <c r="R90" s="19"/>
      <c r="S90" s="19">
        <f>SUM(G90:R90)</f>
        <v>100.07000000000001</v>
      </c>
      <c r="U90" s="75"/>
      <c r="W90" s="19"/>
      <c r="X90" s="19"/>
      <c r="Y90" s="19"/>
      <c r="Z90" s="19"/>
      <c r="AA90" s="19"/>
      <c r="AB90" s="22"/>
      <c r="AC90" s="22"/>
      <c r="AF90" s="19">
        <f>(L90/40.31)/((L90/40.31)+(J90-(J90*0.15))*0.8998/71.85)</f>
        <v>0.77030042066461624</v>
      </c>
      <c r="AG90" s="20">
        <f>H90*5995</f>
        <v>7433.8</v>
      </c>
      <c r="AH90" s="20">
        <f>O90*8302</f>
        <v>58944.2</v>
      </c>
      <c r="AI90" s="20">
        <f>P90*4364</f>
        <v>5149.5199999999995</v>
      </c>
      <c r="AJ90" s="19">
        <f>N90+O90</f>
        <v>8.11</v>
      </c>
      <c r="AK90" s="19">
        <f>O90/N90</f>
        <v>7.0297029702970297</v>
      </c>
      <c r="AL90" s="19">
        <f>N90/O90</f>
        <v>0.14225352112676057</v>
      </c>
      <c r="AM90" s="19">
        <f>EK90/EG90</f>
        <v>1.4738292011019285</v>
      </c>
      <c r="AN90" s="19">
        <f>O90/I90</f>
        <v>0.65197428833792459</v>
      </c>
      <c r="AO90" s="19">
        <f>(EL90/61.98+EM90/94.2)/(EG90/101.96)</f>
        <v>0.85825348800330159</v>
      </c>
      <c r="AP90" s="19">
        <f>1/AO90</f>
        <v>1.1651569308811864</v>
      </c>
      <c r="AQ90" s="19">
        <f>(EG90/101.96)/((EK90/56.08)+(EL90/61.98)+(EM90/94.2))</f>
        <v>0.28265775574493401</v>
      </c>
      <c r="AR90" s="20">
        <f>1000*(4*(EE90/60.08)-11*(EL90/61.98*2+EM90/94.2*2)-2*(EH90/159.69*2+EF90/79.87))</f>
        <v>507.4157046333878</v>
      </c>
      <c r="AS90" s="20">
        <f>1000*(6*(EK90/56.08)+2*(EJ90/40.3)+EG90/101.96*2)</f>
        <v>2543.8185084795091</v>
      </c>
      <c r="AU90" s="19">
        <f>O90/G90</f>
        <v>0.17079624729372142</v>
      </c>
      <c r="AV90" s="19">
        <f>(O90/94.2)/(I90/101.96)</f>
        <v>0.70568257366172815</v>
      </c>
      <c r="AX90" s="20"/>
      <c r="AY90" s="20"/>
      <c r="AZ90" s="20"/>
      <c r="BA90" s="22"/>
      <c r="BB90" s="22"/>
      <c r="BC90" s="22"/>
      <c r="BD90" s="22"/>
      <c r="BE90" s="22"/>
      <c r="BF90" s="22"/>
      <c r="BG90" s="22"/>
      <c r="BH90" s="22"/>
      <c r="BJ90" s="20"/>
      <c r="BK90" s="20"/>
      <c r="BL90" s="22"/>
      <c r="BM90" s="22"/>
      <c r="BN90" s="20"/>
      <c r="BO90" s="20"/>
      <c r="BP90" s="20"/>
      <c r="BQ90" s="22"/>
      <c r="BR90" s="22"/>
      <c r="BS90" s="22"/>
      <c r="BT90" s="22"/>
      <c r="BU90" s="22"/>
      <c r="BV90" s="22"/>
      <c r="BW90" s="19"/>
      <c r="BX90" s="19"/>
      <c r="BY90" s="19"/>
      <c r="BZ90" s="22"/>
      <c r="CA90" s="19"/>
      <c r="CB90" s="20"/>
      <c r="CC90" s="20"/>
      <c r="CD90" s="22"/>
      <c r="CE90" s="22"/>
      <c r="CG90" s="22"/>
      <c r="CH90" s="22"/>
      <c r="CI90" s="22"/>
      <c r="CJ90" s="22"/>
      <c r="CK90" s="22"/>
      <c r="CL90" s="22"/>
      <c r="CM90" s="22"/>
      <c r="CN90" s="22"/>
      <c r="CO90" s="22"/>
      <c r="CP90" s="22"/>
      <c r="CQ90" s="22"/>
      <c r="CR90" s="22"/>
      <c r="CS90" s="22"/>
      <c r="CT90" s="22"/>
      <c r="CU90" s="22"/>
      <c r="CV90" s="22"/>
      <c r="CW90" s="22"/>
      <c r="CX90" s="20"/>
      <c r="CY90" s="22"/>
      <c r="CZ90" s="22"/>
      <c r="DA90" s="22"/>
      <c r="DB90" s="22"/>
      <c r="DC90" s="22"/>
      <c r="DD90" s="22"/>
      <c r="DE90" s="22"/>
      <c r="DF90" s="22"/>
      <c r="DG90" s="19"/>
      <c r="DH90" s="20"/>
      <c r="DI90" s="19"/>
      <c r="DJ90" s="22"/>
      <c r="DK90" s="22"/>
      <c r="DL90" s="22"/>
      <c r="DM90" s="22"/>
      <c r="DN90" s="76"/>
      <c r="DO90" s="22"/>
      <c r="DP90" s="20"/>
      <c r="DQ90" s="22"/>
      <c r="DR90" s="22"/>
      <c r="DS90" s="19"/>
      <c r="DT90" s="23"/>
      <c r="DU90" s="22"/>
      <c r="DV90" s="22"/>
      <c r="DW90" s="22"/>
      <c r="DX90" s="22"/>
      <c r="DY90" s="22"/>
      <c r="DZ90" s="19"/>
      <c r="EA90" s="23"/>
      <c r="EB90" s="19"/>
      <c r="EC90" s="19"/>
      <c r="ED90" s="19"/>
      <c r="EE90" s="19">
        <f t="shared" si="188"/>
        <v>41.64496092967341</v>
      </c>
      <c r="EF90" s="19">
        <f t="shared" si="188"/>
        <v>1.2422360248447204</v>
      </c>
      <c r="EG90" s="19">
        <f t="shared" si="188"/>
        <v>10.909637347225004</v>
      </c>
      <c r="EH90" s="19">
        <f t="shared" si="188"/>
        <v>8.5353636545782408</v>
      </c>
      <c r="EI90" s="19"/>
      <c r="EJ90" s="19">
        <f t="shared" si="189"/>
        <v>12.282107794029251</v>
      </c>
      <c r="EK90" s="19">
        <f t="shared" si="189"/>
        <v>16.078942095772391</v>
      </c>
      <c r="EL90" s="19">
        <f t="shared" si="189"/>
        <v>1.0118212783009417</v>
      </c>
      <c r="EM90" s="19">
        <f t="shared" si="189"/>
        <v>7.1128030454818667</v>
      </c>
      <c r="EN90" s="19">
        <f t="shared" si="189"/>
        <v>1.1821278300941693</v>
      </c>
      <c r="EO90" s="19">
        <f>SUM(EE90:EN90)</f>
        <v>100</v>
      </c>
    </row>
    <row r="91" spans="1:145" s="36" customFormat="1">
      <c r="A91" s="36" t="s">
        <v>170</v>
      </c>
      <c r="B91" s="36">
        <v>5</v>
      </c>
      <c r="C91" s="36" t="s">
        <v>163</v>
      </c>
      <c r="D91" s="36" t="s">
        <v>195</v>
      </c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U91" s="75"/>
      <c r="W91" s="19"/>
      <c r="X91" s="19"/>
      <c r="Y91" s="19"/>
      <c r="Z91" s="19"/>
      <c r="AA91" s="19"/>
      <c r="AB91" s="22"/>
      <c r="AC91" s="22"/>
      <c r="AF91" s="19"/>
      <c r="AG91" s="20"/>
      <c r="AH91" s="20"/>
      <c r="AI91" s="20"/>
      <c r="AJ91" s="19"/>
      <c r="AK91" s="19"/>
      <c r="AL91" s="19"/>
      <c r="AM91" s="19"/>
      <c r="AN91" s="19"/>
      <c r="AO91" s="19"/>
      <c r="AP91" s="19"/>
      <c r="AQ91" s="19"/>
      <c r="AR91" s="20"/>
      <c r="AS91" s="20"/>
      <c r="AU91" s="19"/>
      <c r="AV91" s="19"/>
      <c r="AX91" s="20"/>
      <c r="AY91" s="20"/>
      <c r="AZ91" s="20"/>
      <c r="BA91" s="22"/>
      <c r="BB91" s="22"/>
      <c r="BC91" s="22"/>
      <c r="BD91" s="22"/>
      <c r="BE91" s="22"/>
      <c r="BF91" s="22"/>
      <c r="BG91" s="22"/>
      <c r="BH91" s="22"/>
      <c r="BJ91" s="20"/>
      <c r="BK91" s="20"/>
      <c r="BL91" s="22"/>
      <c r="BM91" s="22"/>
      <c r="BN91" s="20"/>
      <c r="BO91" s="20"/>
      <c r="BP91" s="20"/>
      <c r="BQ91" s="22"/>
      <c r="BR91" s="22"/>
      <c r="BS91" s="22"/>
      <c r="BT91" s="22"/>
      <c r="BU91" s="22"/>
      <c r="BV91" s="22"/>
      <c r="BW91" s="19"/>
      <c r="BX91" s="19"/>
      <c r="BY91" s="19"/>
      <c r="BZ91" s="22"/>
      <c r="CA91" s="19"/>
      <c r="CB91" s="20"/>
      <c r="CC91" s="20"/>
      <c r="CD91" s="22"/>
      <c r="CE91" s="22"/>
      <c r="CG91" s="22"/>
      <c r="CH91" s="22"/>
      <c r="CI91" s="22"/>
      <c r="CJ91" s="22"/>
      <c r="CK91" s="22"/>
      <c r="CL91" s="22"/>
      <c r="CM91" s="22"/>
      <c r="CN91" s="22"/>
      <c r="CO91" s="22"/>
      <c r="CP91" s="22"/>
      <c r="CQ91" s="22"/>
      <c r="CR91" s="22"/>
      <c r="CS91" s="22"/>
      <c r="CT91" s="22"/>
      <c r="CU91" s="22"/>
      <c r="CV91" s="22"/>
      <c r="CW91" s="22"/>
      <c r="CX91" s="20"/>
      <c r="CY91" s="22"/>
      <c r="CZ91" s="22"/>
      <c r="DA91" s="22"/>
      <c r="DB91" s="22"/>
      <c r="DC91" s="22"/>
      <c r="DD91" s="22"/>
      <c r="DE91" s="22"/>
      <c r="DF91" s="22"/>
      <c r="DG91" s="19"/>
      <c r="DH91" s="20"/>
      <c r="DI91" s="19"/>
      <c r="DJ91" s="22"/>
      <c r="DK91" s="22"/>
      <c r="DL91" s="22"/>
      <c r="DM91" s="22"/>
      <c r="DN91" s="76"/>
      <c r="DO91" s="22"/>
      <c r="DP91" s="20"/>
      <c r="DQ91" s="22"/>
      <c r="DR91" s="22"/>
      <c r="DS91" s="19"/>
      <c r="DT91" s="23"/>
      <c r="DU91" s="22"/>
      <c r="DV91" s="22"/>
      <c r="DW91" s="22"/>
      <c r="DX91" s="22"/>
      <c r="DY91" s="22"/>
      <c r="DZ91" s="19"/>
      <c r="EA91" s="23"/>
      <c r="EB91" s="19"/>
      <c r="EC91" s="19"/>
      <c r="ED91" s="19"/>
      <c r="EE91" s="19"/>
      <c r="EF91" s="19"/>
      <c r="EG91" s="19"/>
      <c r="EH91" s="19"/>
      <c r="EI91" s="19"/>
      <c r="EJ91" s="19"/>
      <c r="EK91" s="19"/>
      <c r="EL91" s="19"/>
      <c r="EM91" s="19"/>
      <c r="EN91" s="19"/>
      <c r="EO91" s="19"/>
    </row>
    <row r="92" spans="1:145" s="36" customFormat="1">
      <c r="A92" s="36" t="s">
        <v>170</v>
      </c>
      <c r="B92" s="36">
        <v>5</v>
      </c>
      <c r="C92" s="36" t="s">
        <v>163</v>
      </c>
      <c r="D92" s="36" t="s">
        <v>195</v>
      </c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U92" s="75"/>
      <c r="W92" s="19"/>
      <c r="X92" s="19"/>
      <c r="Y92" s="19"/>
      <c r="Z92" s="19"/>
      <c r="AA92" s="19"/>
      <c r="AB92" s="22"/>
      <c r="AC92" s="22"/>
      <c r="AF92" s="19"/>
      <c r="AG92" s="20"/>
      <c r="AH92" s="20"/>
      <c r="AI92" s="20"/>
      <c r="AJ92" s="19"/>
      <c r="AK92" s="19"/>
      <c r="AL92" s="19"/>
      <c r="AM92" s="19"/>
      <c r="AN92" s="19"/>
      <c r="AO92" s="19"/>
      <c r="AP92" s="19"/>
      <c r="AQ92" s="19"/>
      <c r="AR92" s="20"/>
      <c r="AS92" s="20"/>
      <c r="AU92" s="19"/>
      <c r="AV92" s="19"/>
      <c r="AX92" s="20"/>
      <c r="AY92" s="20"/>
      <c r="AZ92" s="20"/>
      <c r="BA92" s="22"/>
      <c r="BB92" s="22"/>
      <c r="BC92" s="22"/>
      <c r="BD92" s="22"/>
      <c r="BE92" s="22"/>
      <c r="BF92" s="22"/>
      <c r="BG92" s="22"/>
      <c r="BH92" s="22"/>
      <c r="BJ92" s="20"/>
      <c r="BK92" s="20"/>
      <c r="BL92" s="22"/>
      <c r="BM92" s="22"/>
      <c r="BN92" s="20"/>
      <c r="BO92" s="20"/>
      <c r="BP92" s="20"/>
      <c r="BQ92" s="22"/>
      <c r="BR92" s="22"/>
      <c r="BS92" s="22"/>
      <c r="BT92" s="22"/>
      <c r="BU92" s="22"/>
      <c r="BV92" s="22"/>
      <c r="BW92" s="19"/>
      <c r="BX92" s="19"/>
      <c r="BY92" s="19"/>
      <c r="BZ92" s="22"/>
      <c r="CA92" s="19"/>
      <c r="CB92" s="20"/>
      <c r="CC92" s="20"/>
      <c r="CD92" s="22"/>
      <c r="CE92" s="22"/>
      <c r="CG92" s="22"/>
      <c r="CH92" s="22"/>
      <c r="CI92" s="22"/>
      <c r="CJ92" s="22"/>
      <c r="CK92" s="22"/>
      <c r="CL92" s="22"/>
      <c r="CM92" s="22"/>
      <c r="CN92" s="22"/>
      <c r="CO92" s="22"/>
      <c r="CP92" s="22"/>
      <c r="CQ92" s="22"/>
      <c r="CR92" s="22"/>
      <c r="CS92" s="22"/>
      <c r="CT92" s="22"/>
      <c r="CU92" s="22"/>
      <c r="CV92" s="22"/>
      <c r="CW92" s="22"/>
      <c r="CX92" s="20"/>
      <c r="CY92" s="22"/>
      <c r="CZ92" s="22"/>
      <c r="DA92" s="22"/>
      <c r="DB92" s="22"/>
      <c r="DC92" s="22"/>
      <c r="DD92" s="22"/>
      <c r="DE92" s="22"/>
      <c r="DF92" s="22"/>
      <c r="DG92" s="19"/>
      <c r="DH92" s="20"/>
      <c r="DI92" s="19"/>
      <c r="DJ92" s="22"/>
      <c r="DK92" s="22"/>
      <c r="DL92" s="22"/>
      <c r="DM92" s="22"/>
      <c r="DN92" s="76"/>
      <c r="DO92" s="22"/>
      <c r="DP92" s="20"/>
      <c r="DQ92" s="22"/>
      <c r="DR92" s="22"/>
      <c r="DS92" s="19"/>
      <c r="DT92" s="23"/>
      <c r="DU92" s="22"/>
      <c r="DV92" s="22"/>
      <c r="DW92" s="22"/>
      <c r="DX92" s="22"/>
      <c r="DY92" s="22"/>
      <c r="DZ92" s="19"/>
      <c r="EA92" s="23"/>
      <c r="EB92" s="19"/>
      <c r="EC92" s="19"/>
      <c r="ED92" s="19"/>
      <c r="EE92" s="19"/>
      <c r="EF92" s="19"/>
      <c r="EG92" s="19"/>
      <c r="EH92" s="19"/>
      <c r="EI92" s="19"/>
      <c r="EJ92" s="19"/>
      <c r="EK92" s="19"/>
      <c r="EL92" s="19"/>
      <c r="EM92" s="19"/>
      <c r="EN92" s="19"/>
      <c r="EO92" s="19"/>
    </row>
    <row r="93" spans="1:145" s="36" customFormat="1">
      <c r="A93" s="36" t="s">
        <v>170</v>
      </c>
      <c r="B93" s="36">
        <v>5</v>
      </c>
      <c r="C93" s="36" t="s">
        <v>163</v>
      </c>
      <c r="D93" s="36" t="s">
        <v>195</v>
      </c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U93" s="75"/>
      <c r="W93" s="19"/>
      <c r="X93" s="19"/>
      <c r="Y93" s="19"/>
      <c r="Z93" s="19"/>
      <c r="AA93" s="19"/>
      <c r="AB93" s="22"/>
      <c r="AC93" s="22"/>
      <c r="AF93" s="19"/>
      <c r="AG93" s="20"/>
      <c r="AH93" s="20"/>
      <c r="AI93" s="20"/>
      <c r="AJ93" s="19"/>
      <c r="AK93" s="19"/>
      <c r="AL93" s="19"/>
      <c r="AM93" s="19"/>
      <c r="AN93" s="19"/>
      <c r="AO93" s="19"/>
      <c r="AP93" s="19"/>
      <c r="AQ93" s="19"/>
      <c r="AR93" s="20"/>
      <c r="AS93" s="20"/>
      <c r="AU93" s="19"/>
      <c r="AV93" s="19"/>
      <c r="AX93" s="20"/>
      <c r="AY93" s="20"/>
      <c r="AZ93" s="20"/>
      <c r="BA93" s="22"/>
      <c r="BB93" s="22"/>
      <c r="BC93" s="22"/>
      <c r="BD93" s="22"/>
      <c r="BE93" s="22"/>
      <c r="BF93" s="22"/>
      <c r="BG93" s="22"/>
      <c r="BH93" s="22"/>
      <c r="BJ93" s="20"/>
      <c r="BK93" s="20"/>
      <c r="BL93" s="22"/>
      <c r="BM93" s="22"/>
      <c r="BN93" s="20"/>
      <c r="BO93" s="20"/>
      <c r="BP93" s="20"/>
      <c r="BQ93" s="22"/>
      <c r="BR93" s="22"/>
      <c r="BS93" s="22"/>
      <c r="BT93" s="22"/>
      <c r="BU93" s="22"/>
      <c r="BV93" s="22"/>
      <c r="BW93" s="19"/>
      <c r="BX93" s="19"/>
      <c r="BY93" s="19"/>
      <c r="BZ93" s="22"/>
      <c r="CA93" s="19"/>
      <c r="CB93" s="20"/>
      <c r="CC93" s="20"/>
      <c r="CD93" s="22"/>
      <c r="CE93" s="22"/>
      <c r="CG93" s="22"/>
      <c r="CH93" s="22"/>
      <c r="CI93" s="22"/>
      <c r="CJ93" s="22"/>
      <c r="CK93" s="22"/>
      <c r="CL93" s="22"/>
      <c r="CM93" s="22"/>
      <c r="CN93" s="22"/>
      <c r="CO93" s="22"/>
      <c r="CP93" s="22"/>
      <c r="CQ93" s="22"/>
      <c r="CR93" s="22"/>
      <c r="CS93" s="22"/>
      <c r="CT93" s="22"/>
      <c r="CU93" s="22"/>
      <c r="CV93" s="22"/>
      <c r="CW93" s="22"/>
      <c r="CX93" s="20"/>
      <c r="CY93" s="22"/>
      <c r="CZ93" s="22"/>
      <c r="DA93" s="22"/>
      <c r="DB93" s="22"/>
      <c r="DC93" s="22"/>
      <c r="DD93" s="22"/>
      <c r="DE93" s="22"/>
      <c r="DF93" s="22"/>
      <c r="DG93" s="19"/>
      <c r="DH93" s="20"/>
      <c r="DI93" s="19"/>
      <c r="DJ93" s="22"/>
      <c r="DK93" s="22"/>
      <c r="DL93" s="22"/>
      <c r="DM93" s="22"/>
      <c r="DN93" s="76"/>
      <c r="DO93" s="22"/>
      <c r="DP93" s="20"/>
      <c r="DQ93" s="22"/>
      <c r="DR93" s="22"/>
      <c r="DS93" s="19"/>
      <c r="DT93" s="23"/>
      <c r="DU93" s="22"/>
      <c r="DV93" s="22"/>
      <c r="DW93" s="22"/>
      <c r="DX93" s="22"/>
      <c r="DY93" s="22"/>
      <c r="DZ93" s="19"/>
      <c r="EA93" s="23"/>
      <c r="EB93" s="19"/>
      <c r="EC93" s="19"/>
      <c r="ED93" s="19"/>
      <c r="EE93" s="19"/>
      <c r="EF93" s="19"/>
      <c r="EG93" s="19"/>
      <c r="EH93" s="19"/>
      <c r="EI93" s="19"/>
      <c r="EJ93" s="19"/>
      <c r="EK93" s="19"/>
      <c r="EL93" s="19"/>
      <c r="EM93" s="19"/>
      <c r="EN93" s="19"/>
      <c r="EO93" s="19"/>
    </row>
    <row r="94" spans="1:145" s="36" customFormat="1">
      <c r="A94" s="36" t="s">
        <v>170</v>
      </c>
      <c r="B94" s="36">
        <v>5</v>
      </c>
      <c r="C94" s="36" t="s">
        <v>163</v>
      </c>
      <c r="D94" s="36" t="s">
        <v>195</v>
      </c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U94" s="75"/>
      <c r="W94" s="19"/>
      <c r="X94" s="19"/>
      <c r="Y94" s="19"/>
      <c r="Z94" s="19"/>
      <c r="AA94" s="19"/>
      <c r="AB94" s="22"/>
      <c r="AC94" s="22"/>
      <c r="AF94" s="19"/>
      <c r="AG94" s="20"/>
      <c r="AH94" s="20"/>
      <c r="AI94" s="20"/>
      <c r="AJ94" s="19"/>
      <c r="AK94" s="19"/>
      <c r="AL94" s="19"/>
      <c r="AM94" s="19"/>
      <c r="AN94" s="19"/>
      <c r="AO94" s="19"/>
      <c r="AP94" s="19"/>
      <c r="AQ94" s="19"/>
      <c r="AR94" s="20"/>
      <c r="AS94" s="20"/>
      <c r="AU94" s="19"/>
      <c r="AV94" s="19"/>
      <c r="AX94" s="20"/>
      <c r="AY94" s="20"/>
      <c r="AZ94" s="20"/>
      <c r="BA94" s="22"/>
      <c r="BB94" s="22"/>
      <c r="BC94" s="22"/>
      <c r="BD94" s="22"/>
      <c r="BE94" s="22"/>
      <c r="BF94" s="22"/>
      <c r="BG94" s="22"/>
      <c r="BH94" s="22"/>
      <c r="BJ94" s="20"/>
      <c r="BK94" s="20"/>
      <c r="BL94" s="22"/>
      <c r="BM94" s="22"/>
      <c r="BN94" s="20"/>
      <c r="BO94" s="20"/>
      <c r="BP94" s="20"/>
      <c r="BQ94" s="22"/>
      <c r="BR94" s="22"/>
      <c r="BS94" s="22"/>
      <c r="BT94" s="22"/>
      <c r="BU94" s="22"/>
      <c r="BV94" s="22"/>
      <c r="BW94" s="19"/>
      <c r="BX94" s="19"/>
      <c r="BY94" s="19"/>
      <c r="BZ94" s="22"/>
      <c r="CA94" s="19"/>
      <c r="CB94" s="20"/>
      <c r="CC94" s="20"/>
      <c r="CD94" s="22"/>
      <c r="CE94" s="22"/>
      <c r="CG94" s="22"/>
      <c r="CH94" s="22"/>
      <c r="CI94" s="22"/>
      <c r="CJ94" s="22"/>
      <c r="CK94" s="22"/>
      <c r="CL94" s="22"/>
      <c r="CM94" s="22"/>
      <c r="CN94" s="22"/>
      <c r="CO94" s="22"/>
      <c r="CP94" s="22"/>
      <c r="CQ94" s="22"/>
      <c r="CR94" s="22"/>
      <c r="CS94" s="22"/>
      <c r="CT94" s="22"/>
      <c r="CU94" s="22"/>
      <c r="CV94" s="22"/>
      <c r="CW94" s="22"/>
      <c r="CX94" s="20"/>
      <c r="CY94" s="22"/>
      <c r="CZ94" s="22"/>
      <c r="DA94" s="22"/>
      <c r="DB94" s="22"/>
      <c r="DC94" s="22"/>
      <c r="DD94" s="22"/>
      <c r="DE94" s="22"/>
      <c r="DF94" s="22"/>
      <c r="DG94" s="19"/>
      <c r="DH94" s="20"/>
      <c r="DI94" s="19"/>
      <c r="DJ94" s="22"/>
      <c r="DK94" s="22"/>
      <c r="DL94" s="22"/>
      <c r="DM94" s="22"/>
      <c r="DN94" s="76"/>
      <c r="DO94" s="22"/>
      <c r="DP94" s="20"/>
      <c r="DQ94" s="22"/>
      <c r="DR94" s="22"/>
      <c r="DS94" s="19"/>
      <c r="DT94" s="23"/>
      <c r="DU94" s="22"/>
      <c r="DV94" s="22"/>
      <c r="DW94" s="22"/>
      <c r="DX94" s="22"/>
      <c r="DY94" s="22"/>
      <c r="DZ94" s="19"/>
      <c r="EA94" s="23"/>
      <c r="EB94" s="19"/>
      <c r="EC94" s="19"/>
      <c r="ED94" s="19"/>
      <c r="EE94" s="19"/>
      <c r="EF94" s="19"/>
      <c r="EG94" s="19"/>
      <c r="EH94" s="19"/>
      <c r="EI94" s="19"/>
      <c r="EJ94" s="19"/>
      <c r="EK94" s="19"/>
      <c r="EL94" s="19"/>
      <c r="EM94" s="19"/>
      <c r="EN94" s="19"/>
      <c r="EO94" s="19"/>
    </row>
    <row r="95" spans="1:145" s="36" customFormat="1">
      <c r="A95" s="36" t="s">
        <v>170</v>
      </c>
      <c r="B95" s="36">
        <v>5</v>
      </c>
      <c r="C95" s="36" t="s">
        <v>163</v>
      </c>
      <c r="D95" s="36" t="s">
        <v>195</v>
      </c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U95" s="75"/>
      <c r="W95" s="19"/>
      <c r="X95" s="19"/>
      <c r="Y95" s="19"/>
      <c r="Z95" s="19"/>
      <c r="AA95" s="19"/>
      <c r="AB95" s="22"/>
      <c r="AC95" s="22"/>
      <c r="AF95" s="19"/>
      <c r="AG95" s="20"/>
      <c r="AH95" s="20"/>
      <c r="AI95" s="20"/>
      <c r="AJ95" s="19"/>
      <c r="AK95" s="19"/>
      <c r="AL95" s="19"/>
      <c r="AM95" s="19"/>
      <c r="AN95" s="19"/>
      <c r="AO95" s="19"/>
      <c r="AP95" s="19"/>
      <c r="AQ95" s="19"/>
      <c r="AR95" s="20"/>
      <c r="AS95" s="20"/>
      <c r="AU95" s="19"/>
      <c r="AV95" s="19"/>
      <c r="AX95" s="20"/>
      <c r="AY95" s="20"/>
      <c r="AZ95" s="20"/>
      <c r="BA95" s="22"/>
      <c r="BB95" s="22"/>
      <c r="BC95" s="22"/>
      <c r="BD95" s="22"/>
      <c r="BE95" s="22"/>
      <c r="BF95" s="22"/>
      <c r="BG95" s="22"/>
      <c r="BH95" s="22"/>
      <c r="BJ95" s="20"/>
      <c r="BK95" s="20"/>
      <c r="BL95" s="22"/>
      <c r="BM95" s="22"/>
      <c r="BN95" s="20"/>
      <c r="BO95" s="20"/>
      <c r="BP95" s="20"/>
      <c r="BQ95" s="22"/>
      <c r="BR95" s="22"/>
      <c r="BS95" s="22"/>
      <c r="BT95" s="22"/>
      <c r="BU95" s="22"/>
      <c r="BV95" s="22"/>
      <c r="BW95" s="19"/>
      <c r="BX95" s="19"/>
      <c r="BY95" s="19"/>
      <c r="BZ95" s="22"/>
      <c r="CA95" s="19"/>
      <c r="CB95" s="20"/>
      <c r="CC95" s="20"/>
      <c r="CD95" s="22"/>
      <c r="CE95" s="22"/>
      <c r="CG95" s="22"/>
      <c r="CH95" s="22"/>
      <c r="CI95" s="22"/>
      <c r="CJ95" s="22"/>
      <c r="CK95" s="22"/>
      <c r="CL95" s="22"/>
      <c r="CM95" s="22"/>
      <c r="CN95" s="22"/>
      <c r="CO95" s="22"/>
      <c r="CP95" s="22"/>
      <c r="CQ95" s="22"/>
      <c r="CR95" s="22"/>
      <c r="CS95" s="22"/>
      <c r="CT95" s="22"/>
      <c r="CU95" s="22"/>
      <c r="CV95" s="22"/>
      <c r="CW95" s="22"/>
      <c r="CX95" s="20"/>
      <c r="CY95" s="22"/>
      <c r="CZ95" s="22"/>
      <c r="DA95" s="22"/>
      <c r="DB95" s="22"/>
      <c r="DC95" s="22"/>
      <c r="DD95" s="22"/>
      <c r="DE95" s="22"/>
      <c r="DF95" s="22"/>
      <c r="DG95" s="19"/>
      <c r="DH95" s="20"/>
      <c r="DI95" s="19"/>
      <c r="DJ95" s="22"/>
      <c r="DK95" s="22"/>
      <c r="DL95" s="22"/>
      <c r="DM95" s="22"/>
      <c r="DN95" s="76"/>
      <c r="DO95" s="22"/>
      <c r="DP95" s="20"/>
      <c r="DQ95" s="22"/>
      <c r="DR95" s="22"/>
      <c r="DS95" s="19"/>
      <c r="DT95" s="23"/>
      <c r="DU95" s="22"/>
      <c r="DV95" s="22"/>
      <c r="DW95" s="22"/>
      <c r="DX95" s="22"/>
      <c r="DY95" s="22"/>
      <c r="DZ95" s="19"/>
      <c r="EA95" s="23"/>
      <c r="EB95" s="19"/>
      <c r="EC95" s="19"/>
      <c r="ED95" s="19"/>
      <c r="EE95" s="19"/>
      <c r="EF95" s="19"/>
      <c r="EG95" s="19"/>
      <c r="EH95" s="19"/>
      <c r="EI95" s="19"/>
      <c r="EJ95" s="19"/>
      <c r="EK95" s="19"/>
      <c r="EL95" s="19"/>
      <c r="EM95" s="19"/>
      <c r="EN95" s="19"/>
      <c r="EO95" s="19"/>
    </row>
    <row r="96" spans="1:145" s="36" customFormat="1">
      <c r="A96" s="36" t="s">
        <v>170</v>
      </c>
      <c r="B96" s="36">
        <v>5</v>
      </c>
      <c r="C96" s="36" t="s">
        <v>163</v>
      </c>
      <c r="D96" s="36" t="s">
        <v>195</v>
      </c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U96" s="75"/>
      <c r="W96" s="19"/>
      <c r="X96" s="19"/>
      <c r="Y96" s="19"/>
      <c r="Z96" s="19"/>
      <c r="AA96" s="19"/>
      <c r="AB96" s="22"/>
      <c r="AC96" s="22"/>
      <c r="AF96" s="19"/>
      <c r="AG96" s="20"/>
      <c r="AH96" s="20"/>
      <c r="AI96" s="20"/>
      <c r="AJ96" s="19"/>
      <c r="AK96" s="19"/>
      <c r="AL96" s="19"/>
      <c r="AM96" s="19"/>
      <c r="AN96" s="19"/>
      <c r="AO96" s="19"/>
      <c r="AP96" s="19"/>
      <c r="AQ96" s="19"/>
      <c r="AR96" s="20"/>
      <c r="AS96" s="20"/>
      <c r="AU96" s="19"/>
      <c r="AV96" s="19"/>
      <c r="AX96" s="20"/>
      <c r="AY96" s="20"/>
      <c r="AZ96" s="20"/>
      <c r="BA96" s="22"/>
      <c r="BB96" s="22"/>
      <c r="BC96" s="22"/>
      <c r="BD96" s="22"/>
      <c r="BE96" s="22"/>
      <c r="BF96" s="22"/>
      <c r="BG96" s="22"/>
      <c r="BH96" s="22"/>
      <c r="BJ96" s="20"/>
      <c r="BK96" s="20"/>
      <c r="BL96" s="22"/>
      <c r="BM96" s="22"/>
      <c r="BN96" s="20"/>
      <c r="BO96" s="20"/>
      <c r="BP96" s="20"/>
      <c r="BQ96" s="22"/>
      <c r="BR96" s="22"/>
      <c r="BS96" s="22"/>
      <c r="BT96" s="22"/>
      <c r="BU96" s="22"/>
      <c r="BV96" s="22"/>
      <c r="BW96" s="19"/>
      <c r="BX96" s="19"/>
      <c r="BY96" s="19"/>
      <c r="BZ96" s="22"/>
      <c r="CA96" s="19"/>
      <c r="CB96" s="20"/>
      <c r="CC96" s="20"/>
      <c r="CD96" s="22"/>
      <c r="CE96" s="22"/>
      <c r="CG96" s="22"/>
      <c r="CH96" s="22"/>
      <c r="CI96" s="22"/>
      <c r="CJ96" s="22"/>
      <c r="CK96" s="22"/>
      <c r="CL96" s="22"/>
      <c r="CM96" s="22"/>
      <c r="CN96" s="22"/>
      <c r="CO96" s="22"/>
      <c r="CP96" s="22"/>
      <c r="CQ96" s="22"/>
      <c r="CR96" s="22"/>
      <c r="CS96" s="22"/>
      <c r="CT96" s="22"/>
      <c r="CU96" s="22"/>
      <c r="CV96" s="22"/>
      <c r="CW96" s="22"/>
      <c r="CX96" s="20"/>
      <c r="CY96" s="22"/>
      <c r="CZ96" s="22"/>
      <c r="DA96" s="22"/>
      <c r="DB96" s="22"/>
      <c r="DC96" s="22"/>
      <c r="DD96" s="22"/>
      <c r="DE96" s="22"/>
      <c r="DF96" s="22"/>
      <c r="DG96" s="19"/>
      <c r="DH96" s="20"/>
      <c r="DI96" s="19"/>
      <c r="DJ96" s="22"/>
      <c r="DK96" s="22"/>
      <c r="DL96" s="22"/>
      <c r="DM96" s="22"/>
      <c r="DN96" s="76"/>
      <c r="DO96" s="22"/>
      <c r="DP96" s="20"/>
      <c r="DQ96" s="22"/>
      <c r="DR96" s="22"/>
      <c r="DS96" s="19"/>
      <c r="DT96" s="23"/>
      <c r="DU96" s="22"/>
      <c r="DV96" s="22"/>
      <c r="DW96" s="22"/>
      <c r="DX96" s="22"/>
      <c r="DY96" s="22"/>
      <c r="DZ96" s="19"/>
      <c r="EA96" s="23"/>
      <c r="EB96" s="19"/>
      <c r="EC96" s="19"/>
      <c r="ED96" s="19"/>
      <c r="EE96" s="19"/>
      <c r="EF96" s="19"/>
      <c r="EG96" s="19"/>
      <c r="EH96" s="19"/>
      <c r="EI96" s="19"/>
      <c r="EJ96" s="19"/>
      <c r="EK96" s="19"/>
      <c r="EL96" s="19"/>
      <c r="EM96" s="19"/>
      <c r="EN96" s="19"/>
      <c r="EO96" s="19"/>
    </row>
    <row r="97" spans="1:145" s="36" customFormat="1">
      <c r="A97" s="36" t="s">
        <v>170</v>
      </c>
      <c r="B97" s="36">
        <v>5</v>
      </c>
      <c r="C97" s="36" t="s">
        <v>163</v>
      </c>
      <c r="D97" s="36" t="s">
        <v>195</v>
      </c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U97" s="75"/>
      <c r="W97" s="19"/>
      <c r="X97" s="19"/>
      <c r="Y97" s="19"/>
      <c r="Z97" s="19"/>
      <c r="AA97" s="19"/>
      <c r="AB97" s="22"/>
      <c r="AC97" s="22"/>
      <c r="AF97" s="19"/>
      <c r="AG97" s="20"/>
      <c r="AH97" s="20"/>
      <c r="AI97" s="20"/>
      <c r="AJ97" s="19"/>
      <c r="AK97" s="19"/>
      <c r="AL97" s="19"/>
      <c r="AM97" s="19"/>
      <c r="AN97" s="19"/>
      <c r="AO97" s="19"/>
      <c r="AP97" s="19"/>
      <c r="AQ97" s="19"/>
      <c r="AR97" s="20"/>
      <c r="AS97" s="20"/>
      <c r="AU97" s="19"/>
      <c r="AV97" s="19"/>
      <c r="AX97" s="20"/>
      <c r="AY97" s="20"/>
      <c r="AZ97" s="20"/>
      <c r="BA97" s="22"/>
      <c r="BB97" s="22"/>
      <c r="BC97" s="22"/>
      <c r="BD97" s="22"/>
      <c r="BE97" s="22"/>
      <c r="BF97" s="22"/>
      <c r="BG97" s="22"/>
      <c r="BH97" s="22"/>
      <c r="BJ97" s="20"/>
      <c r="BK97" s="20"/>
      <c r="BL97" s="22"/>
      <c r="BM97" s="22"/>
      <c r="BN97" s="20"/>
      <c r="BO97" s="20"/>
      <c r="BP97" s="20"/>
      <c r="BQ97" s="22"/>
      <c r="BR97" s="22"/>
      <c r="BS97" s="22"/>
      <c r="BT97" s="22"/>
      <c r="BU97" s="22"/>
      <c r="BV97" s="22"/>
      <c r="BW97" s="19"/>
      <c r="BX97" s="19"/>
      <c r="BY97" s="19"/>
      <c r="BZ97" s="22"/>
      <c r="CA97" s="19"/>
      <c r="CB97" s="20"/>
      <c r="CC97" s="20"/>
      <c r="CD97" s="22"/>
      <c r="CE97" s="22"/>
      <c r="CG97" s="22"/>
      <c r="CH97" s="22"/>
      <c r="CI97" s="22"/>
      <c r="CJ97" s="22"/>
      <c r="CK97" s="22"/>
      <c r="CL97" s="22"/>
      <c r="CM97" s="22"/>
      <c r="CN97" s="22"/>
      <c r="CO97" s="22"/>
      <c r="CP97" s="22"/>
      <c r="CQ97" s="22"/>
      <c r="CR97" s="22"/>
      <c r="CS97" s="22"/>
      <c r="CT97" s="22"/>
      <c r="CU97" s="22"/>
      <c r="CV97" s="22"/>
      <c r="CW97" s="22"/>
      <c r="CX97" s="20"/>
      <c r="CY97" s="22"/>
      <c r="CZ97" s="22"/>
      <c r="DA97" s="22"/>
      <c r="DB97" s="22"/>
      <c r="DC97" s="22"/>
      <c r="DD97" s="22"/>
      <c r="DE97" s="22"/>
      <c r="DF97" s="22"/>
      <c r="DG97" s="19"/>
      <c r="DH97" s="20"/>
      <c r="DI97" s="19"/>
      <c r="DJ97" s="22"/>
      <c r="DK97" s="22"/>
      <c r="DL97" s="22"/>
      <c r="DM97" s="22"/>
      <c r="DN97" s="76"/>
      <c r="DO97" s="22"/>
      <c r="DP97" s="20"/>
      <c r="DQ97" s="22"/>
      <c r="DR97" s="22"/>
      <c r="DS97" s="19"/>
      <c r="DT97" s="23"/>
      <c r="DU97" s="22"/>
      <c r="DV97" s="22"/>
      <c r="DW97" s="22"/>
      <c r="DX97" s="22"/>
      <c r="DY97" s="22"/>
      <c r="DZ97" s="19"/>
      <c r="EA97" s="23"/>
      <c r="EB97" s="19"/>
      <c r="EC97" s="19"/>
      <c r="ED97" s="19"/>
      <c r="EE97" s="19"/>
      <c r="EF97" s="19"/>
      <c r="EG97" s="19"/>
      <c r="EH97" s="19"/>
      <c r="EI97" s="19"/>
      <c r="EJ97" s="19"/>
      <c r="EK97" s="19"/>
      <c r="EL97" s="19"/>
      <c r="EM97" s="19"/>
      <c r="EN97" s="19"/>
      <c r="EO97" s="19"/>
    </row>
    <row r="98" spans="1:145" s="36" customFormat="1">
      <c r="A98" s="36" t="s">
        <v>170</v>
      </c>
      <c r="B98" s="36">
        <v>5</v>
      </c>
      <c r="C98" s="36" t="s">
        <v>163</v>
      </c>
      <c r="D98" s="36" t="s">
        <v>195</v>
      </c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U98" s="75"/>
      <c r="W98" s="19"/>
      <c r="X98" s="19"/>
      <c r="Y98" s="19"/>
      <c r="Z98" s="19"/>
      <c r="AA98" s="19"/>
      <c r="AB98" s="22"/>
      <c r="AC98" s="22"/>
      <c r="AF98" s="19"/>
      <c r="AG98" s="20"/>
      <c r="AH98" s="20"/>
      <c r="AI98" s="20"/>
      <c r="AJ98" s="19"/>
      <c r="AK98" s="19"/>
      <c r="AL98" s="19"/>
      <c r="AM98" s="19"/>
      <c r="AN98" s="19"/>
      <c r="AO98" s="19"/>
      <c r="AP98" s="19"/>
      <c r="AQ98" s="19"/>
      <c r="AR98" s="20"/>
      <c r="AS98" s="20"/>
      <c r="AU98" s="19"/>
      <c r="AV98" s="19"/>
      <c r="AX98" s="20"/>
      <c r="AY98" s="20"/>
      <c r="AZ98" s="20"/>
      <c r="BA98" s="22"/>
      <c r="BB98" s="22"/>
      <c r="BC98" s="22"/>
      <c r="BD98" s="22"/>
      <c r="BE98" s="22"/>
      <c r="BF98" s="22"/>
      <c r="BG98" s="22"/>
      <c r="BH98" s="22"/>
      <c r="BJ98" s="20"/>
      <c r="BK98" s="20"/>
      <c r="BL98" s="22"/>
      <c r="BM98" s="22"/>
      <c r="BN98" s="20"/>
      <c r="BO98" s="20"/>
      <c r="BP98" s="20"/>
      <c r="BQ98" s="22"/>
      <c r="BR98" s="22"/>
      <c r="BS98" s="22"/>
      <c r="BT98" s="22"/>
      <c r="BU98" s="22"/>
      <c r="BV98" s="22"/>
      <c r="BW98" s="19"/>
      <c r="BX98" s="19"/>
      <c r="BY98" s="19"/>
      <c r="BZ98" s="22"/>
      <c r="CA98" s="19"/>
      <c r="CB98" s="20"/>
      <c r="CC98" s="20"/>
      <c r="CD98" s="22"/>
      <c r="CE98" s="22"/>
      <c r="CG98" s="22"/>
      <c r="CH98" s="22"/>
      <c r="CI98" s="22"/>
      <c r="CJ98" s="22"/>
      <c r="CK98" s="22"/>
      <c r="CL98" s="22"/>
      <c r="CM98" s="22"/>
      <c r="CN98" s="22"/>
      <c r="CO98" s="22"/>
      <c r="CP98" s="22"/>
      <c r="CQ98" s="22"/>
      <c r="CR98" s="22"/>
      <c r="CS98" s="22"/>
      <c r="CT98" s="22"/>
      <c r="CU98" s="22"/>
      <c r="CV98" s="22"/>
      <c r="CW98" s="22"/>
      <c r="CX98" s="20"/>
      <c r="CY98" s="22"/>
      <c r="CZ98" s="22"/>
      <c r="DA98" s="22"/>
      <c r="DB98" s="22"/>
      <c r="DC98" s="22"/>
      <c r="DD98" s="22"/>
      <c r="DE98" s="22"/>
      <c r="DF98" s="22"/>
      <c r="DG98" s="19"/>
      <c r="DH98" s="20"/>
      <c r="DI98" s="19"/>
      <c r="DJ98" s="22"/>
      <c r="DK98" s="22"/>
      <c r="DL98" s="22"/>
      <c r="DM98" s="22"/>
      <c r="DN98" s="76"/>
      <c r="DO98" s="22"/>
      <c r="DP98" s="20"/>
      <c r="DQ98" s="22"/>
      <c r="DR98" s="22"/>
      <c r="DS98" s="19"/>
      <c r="DT98" s="23"/>
      <c r="DU98" s="22"/>
      <c r="DV98" s="22"/>
      <c r="DW98" s="22"/>
      <c r="DX98" s="22"/>
      <c r="DY98" s="22"/>
      <c r="DZ98" s="19"/>
      <c r="EA98" s="23"/>
      <c r="EB98" s="19"/>
      <c r="EC98" s="19"/>
      <c r="ED98" s="19"/>
      <c r="EE98" s="19"/>
      <c r="EF98" s="19"/>
      <c r="EG98" s="19"/>
      <c r="EH98" s="19"/>
      <c r="EI98" s="19"/>
      <c r="EJ98" s="19"/>
      <c r="EK98" s="19"/>
      <c r="EL98" s="19"/>
      <c r="EM98" s="19"/>
      <c r="EN98" s="19"/>
      <c r="EO98" s="19"/>
    </row>
    <row r="99" spans="1:145" s="36" customFormat="1">
      <c r="A99" s="36" t="s">
        <v>170</v>
      </c>
      <c r="B99" s="36">
        <v>5</v>
      </c>
      <c r="C99" s="36" t="s">
        <v>163</v>
      </c>
      <c r="D99" s="36" t="s">
        <v>195</v>
      </c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U99" s="75"/>
      <c r="W99" s="19"/>
      <c r="X99" s="19"/>
      <c r="Y99" s="19"/>
      <c r="Z99" s="19"/>
      <c r="AA99" s="19"/>
      <c r="AB99" s="22"/>
      <c r="AC99" s="22"/>
      <c r="AF99" s="19"/>
      <c r="AG99" s="20"/>
      <c r="AH99" s="20"/>
      <c r="AI99" s="20"/>
      <c r="AJ99" s="19"/>
      <c r="AK99" s="19"/>
      <c r="AL99" s="19"/>
      <c r="AM99" s="19"/>
      <c r="AN99" s="19"/>
      <c r="AO99" s="19"/>
      <c r="AP99" s="19"/>
      <c r="AQ99" s="19"/>
      <c r="AR99" s="20"/>
      <c r="AS99" s="20"/>
      <c r="AU99" s="19"/>
      <c r="AV99" s="19"/>
      <c r="AX99" s="20"/>
      <c r="AY99" s="20"/>
      <c r="AZ99" s="20"/>
      <c r="BA99" s="22"/>
      <c r="BB99" s="22"/>
      <c r="BC99" s="22"/>
      <c r="BD99" s="22"/>
      <c r="BE99" s="22"/>
      <c r="BF99" s="22"/>
      <c r="BG99" s="22"/>
      <c r="BH99" s="22"/>
      <c r="BJ99" s="20"/>
      <c r="BK99" s="20"/>
      <c r="BL99" s="22"/>
      <c r="BM99" s="22"/>
      <c r="BN99" s="20"/>
      <c r="BO99" s="20"/>
      <c r="BP99" s="20"/>
      <c r="BQ99" s="22"/>
      <c r="BR99" s="22"/>
      <c r="BS99" s="22"/>
      <c r="BT99" s="22"/>
      <c r="BU99" s="22"/>
      <c r="BV99" s="22"/>
      <c r="BW99" s="19"/>
      <c r="BX99" s="19"/>
      <c r="BY99" s="19"/>
      <c r="BZ99" s="22"/>
      <c r="CA99" s="19"/>
      <c r="CB99" s="20"/>
      <c r="CC99" s="20"/>
      <c r="CD99" s="22"/>
      <c r="CE99" s="22"/>
      <c r="CG99" s="22"/>
      <c r="CH99" s="22"/>
      <c r="CI99" s="22"/>
      <c r="CJ99" s="22"/>
      <c r="CK99" s="22"/>
      <c r="CL99" s="22"/>
      <c r="CM99" s="22"/>
      <c r="CN99" s="22"/>
      <c r="CO99" s="22"/>
      <c r="CP99" s="22"/>
      <c r="CQ99" s="22"/>
      <c r="CR99" s="22"/>
      <c r="CS99" s="22"/>
      <c r="CT99" s="22"/>
      <c r="CU99" s="22"/>
      <c r="CV99" s="22"/>
      <c r="CW99" s="22"/>
      <c r="CX99" s="20"/>
      <c r="CY99" s="22"/>
      <c r="CZ99" s="22"/>
      <c r="DA99" s="22"/>
      <c r="DB99" s="22"/>
      <c r="DC99" s="22"/>
      <c r="DD99" s="22"/>
      <c r="DE99" s="22"/>
      <c r="DF99" s="22"/>
      <c r="DG99" s="19"/>
      <c r="DH99" s="20"/>
      <c r="DI99" s="19"/>
      <c r="DJ99" s="22"/>
      <c r="DK99" s="22"/>
      <c r="DL99" s="22"/>
      <c r="DM99" s="22"/>
      <c r="DN99" s="76"/>
      <c r="DO99" s="22"/>
      <c r="DP99" s="20"/>
      <c r="DQ99" s="22"/>
      <c r="DR99" s="22"/>
      <c r="DS99" s="19"/>
      <c r="DT99" s="23"/>
      <c r="DU99" s="22"/>
      <c r="DV99" s="22"/>
      <c r="DW99" s="22"/>
      <c r="DX99" s="22"/>
      <c r="DY99" s="22"/>
      <c r="DZ99" s="19"/>
      <c r="EA99" s="23"/>
      <c r="EB99" s="19"/>
      <c r="EC99" s="19"/>
      <c r="ED99" s="19"/>
      <c r="EE99" s="19"/>
      <c r="EF99" s="19"/>
      <c r="EG99" s="19"/>
      <c r="EH99" s="19"/>
      <c r="EI99" s="19"/>
      <c r="EJ99" s="19"/>
      <c r="EK99" s="19"/>
      <c r="EL99" s="19"/>
      <c r="EM99" s="19"/>
      <c r="EN99" s="19"/>
      <c r="EO99" s="19"/>
    </row>
    <row r="100" spans="1:145" s="36" customFormat="1">
      <c r="A100" s="36" t="s">
        <v>170</v>
      </c>
      <c r="B100" s="36">
        <v>5</v>
      </c>
      <c r="C100" s="36" t="s">
        <v>163</v>
      </c>
      <c r="D100" s="36" t="s">
        <v>195</v>
      </c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U100" s="75"/>
      <c r="W100" s="19"/>
      <c r="X100" s="19"/>
      <c r="Y100" s="19"/>
      <c r="Z100" s="19"/>
      <c r="AA100" s="19"/>
      <c r="AB100" s="22"/>
      <c r="AC100" s="22"/>
      <c r="AF100" s="19"/>
      <c r="AG100" s="20"/>
      <c r="AH100" s="20"/>
      <c r="AI100" s="20"/>
      <c r="AJ100" s="19"/>
      <c r="AK100" s="19"/>
      <c r="AL100" s="19"/>
      <c r="AM100" s="19"/>
      <c r="AN100" s="19"/>
      <c r="AO100" s="19"/>
      <c r="AP100" s="19"/>
      <c r="AQ100" s="19"/>
      <c r="AR100" s="20"/>
      <c r="AS100" s="20"/>
      <c r="AU100" s="19"/>
      <c r="AV100" s="19"/>
      <c r="AX100" s="20"/>
      <c r="AY100" s="20"/>
      <c r="AZ100" s="20"/>
      <c r="BA100" s="22"/>
      <c r="BB100" s="22"/>
      <c r="BC100" s="22"/>
      <c r="BD100" s="22"/>
      <c r="BE100" s="22"/>
      <c r="BF100" s="22"/>
      <c r="BG100" s="22"/>
      <c r="BH100" s="22"/>
      <c r="BJ100" s="20"/>
      <c r="BK100" s="20"/>
      <c r="BL100" s="22"/>
      <c r="BM100" s="22"/>
      <c r="BN100" s="20"/>
      <c r="BO100" s="20"/>
      <c r="BP100" s="20"/>
      <c r="BQ100" s="22"/>
      <c r="BR100" s="22"/>
      <c r="BS100" s="22"/>
      <c r="BT100" s="22"/>
      <c r="BU100" s="22"/>
      <c r="BV100" s="22"/>
      <c r="BW100" s="19"/>
      <c r="BX100" s="19"/>
      <c r="BY100" s="19"/>
      <c r="BZ100" s="22"/>
      <c r="CA100" s="19"/>
      <c r="CB100" s="20"/>
      <c r="CC100" s="20"/>
      <c r="CD100" s="22"/>
      <c r="CE100" s="22"/>
      <c r="CG100" s="22"/>
      <c r="CH100" s="22"/>
      <c r="CI100" s="22"/>
      <c r="CJ100" s="22"/>
      <c r="CK100" s="22"/>
      <c r="CL100" s="22"/>
      <c r="CM100" s="22"/>
      <c r="CN100" s="22"/>
      <c r="CO100" s="22"/>
      <c r="CP100" s="22"/>
      <c r="CQ100" s="22"/>
      <c r="CR100" s="22"/>
      <c r="CS100" s="22"/>
      <c r="CT100" s="22"/>
      <c r="CU100" s="22"/>
      <c r="CV100" s="22"/>
      <c r="CW100" s="22"/>
      <c r="CX100" s="20"/>
      <c r="CY100" s="22"/>
      <c r="CZ100" s="22"/>
      <c r="DA100" s="22"/>
      <c r="DB100" s="22"/>
      <c r="DC100" s="22"/>
      <c r="DD100" s="22"/>
      <c r="DE100" s="22"/>
      <c r="DF100" s="22"/>
      <c r="DG100" s="19"/>
      <c r="DH100" s="20"/>
      <c r="DI100" s="19"/>
      <c r="DJ100" s="22"/>
      <c r="DK100" s="22"/>
      <c r="DL100" s="22"/>
      <c r="DM100" s="22"/>
      <c r="DN100" s="76"/>
      <c r="DO100" s="22"/>
      <c r="DP100" s="20"/>
      <c r="DQ100" s="22"/>
      <c r="DR100" s="22"/>
      <c r="DS100" s="19"/>
      <c r="DT100" s="23"/>
      <c r="DU100" s="22"/>
      <c r="DV100" s="22"/>
      <c r="DW100" s="22"/>
      <c r="DX100" s="22"/>
      <c r="DY100" s="22"/>
      <c r="DZ100" s="19"/>
      <c r="EA100" s="23"/>
      <c r="EB100" s="19"/>
      <c r="EC100" s="19"/>
      <c r="ED100" s="19"/>
      <c r="EE100" s="19"/>
      <c r="EF100" s="19"/>
      <c r="EG100" s="19"/>
      <c r="EH100" s="19"/>
      <c r="EI100" s="19"/>
      <c r="EJ100" s="19"/>
      <c r="EK100" s="19"/>
      <c r="EL100" s="19"/>
      <c r="EM100" s="19"/>
      <c r="EN100" s="19"/>
      <c r="EO100" s="19"/>
    </row>
    <row r="101" spans="1:145" s="36" customFormat="1">
      <c r="A101" s="36" t="s">
        <v>170</v>
      </c>
      <c r="B101" s="36">
        <v>5</v>
      </c>
      <c r="C101" s="36" t="s">
        <v>169</v>
      </c>
      <c r="D101" s="36" t="s">
        <v>194</v>
      </c>
      <c r="E101" s="36" t="s">
        <v>192</v>
      </c>
      <c r="G101" s="19">
        <v>44.82</v>
      </c>
      <c r="H101" s="19">
        <v>0.79</v>
      </c>
      <c r="I101" s="19">
        <v>10.39</v>
      </c>
      <c r="J101" s="19">
        <v>7.57</v>
      </c>
      <c r="K101" s="19">
        <v>0.13</v>
      </c>
      <c r="L101" s="19">
        <v>12.56</v>
      </c>
      <c r="M101" s="19">
        <v>15.69</v>
      </c>
      <c r="N101" s="19">
        <v>1.1000000000000001</v>
      </c>
      <c r="O101" s="19">
        <v>7.73</v>
      </c>
      <c r="P101" s="19">
        <v>0.41</v>
      </c>
      <c r="Q101" s="19"/>
      <c r="R101" s="19"/>
      <c r="S101" s="19">
        <f>SUM(G101:R101)</f>
        <v>101.19</v>
      </c>
      <c r="U101" s="75"/>
      <c r="W101" s="19"/>
      <c r="X101" s="19"/>
      <c r="Y101" s="19"/>
      <c r="Z101" s="19"/>
      <c r="AA101" s="19"/>
      <c r="AB101" s="22"/>
      <c r="AC101" s="22"/>
      <c r="AF101" s="19">
        <f>(L101/40.31)/((L101/40.31)+(J101-(J101*0.15))*0.8998/71.85)</f>
        <v>0.7945228354391054</v>
      </c>
      <c r="AG101" s="20"/>
      <c r="AH101" s="20"/>
      <c r="AI101" s="20"/>
      <c r="AJ101" s="19">
        <f>N101+O101</f>
        <v>8.83</v>
      </c>
      <c r="AK101" s="19">
        <f>O101/N101</f>
        <v>7.0272727272727273</v>
      </c>
      <c r="AL101" s="19">
        <f>N101/O101</f>
        <v>0.14230271668822769</v>
      </c>
      <c r="AM101" s="19"/>
      <c r="AN101" s="19"/>
      <c r="AO101" s="19"/>
      <c r="AP101" s="19"/>
      <c r="AQ101" s="19"/>
      <c r="AR101" s="20"/>
      <c r="AS101" s="20"/>
      <c r="AU101" s="19">
        <f>O101/G101</f>
        <v>0.17246764837126283</v>
      </c>
      <c r="AV101" s="19">
        <f>(O101/94.2)/(I101/101.96)</f>
        <v>0.80527250397961447</v>
      </c>
      <c r="AX101" s="20"/>
      <c r="AY101" s="20"/>
      <c r="AZ101" s="20"/>
      <c r="BA101" s="22"/>
      <c r="BB101" s="22"/>
      <c r="BC101" s="22"/>
      <c r="BD101" s="22"/>
      <c r="BE101" s="22"/>
      <c r="BF101" s="22"/>
      <c r="BG101" s="22"/>
      <c r="BH101" s="22"/>
      <c r="BJ101" s="20"/>
      <c r="BK101" s="20"/>
      <c r="BL101" s="22"/>
      <c r="BM101" s="22"/>
      <c r="BN101" s="20"/>
      <c r="BO101" s="20"/>
      <c r="BP101" s="20"/>
      <c r="BQ101" s="22"/>
      <c r="BR101" s="22"/>
      <c r="BS101" s="22"/>
      <c r="BT101" s="22"/>
      <c r="BU101" s="22"/>
      <c r="BV101" s="22"/>
      <c r="BW101" s="19"/>
      <c r="BX101" s="19"/>
      <c r="BY101" s="19"/>
      <c r="BZ101" s="22"/>
      <c r="CA101" s="19"/>
      <c r="CB101" s="20"/>
      <c r="CC101" s="20"/>
      <c r="CD101" s="22"/>
      <c r="CE101" s="22"/>
      <c r="CG101" s="22"/>
      <c r="CH101" s="22"/>
      <c r="CI101" s="22"/>
      <c r="CJ101" s="22"/>
      <c r="CK101" s="22"/>
      <c r="CL101" s="22"/>
      <c r="CM101" s="22"/>
      <c r="CN101" s="22"/>
      <c r="CO101" s="22"/>
      <c r="CP101" s="22"/>
      <c r="CQ101" s="22"/>
      <c r="CR101" s="22"/>
      <c r="CS101" s="22"/>
      <c r="CT101" s="22"/>
      <c r="CU101" s="22"/>
      <c r="CV101" s="22"/>
      <c r="CW101" s="22"/>
      <c r="CX101" s="20"/>
      <c r="CY101" s="22"/>
      <c r="CZ101" s="22"/>
      <c r="DA101" s="22"/>
      <c r="DB101" s="22"/>
      <c r="DC101" s="22"/>
      <c r="DD101" s="22"/>
      <c r="DE101" s="22"/>
      <c r="DF101" s="22"/>
      <c r="DG101" s="19"/>
      <c r="DH101" s="20"/>
      <c r="DI101" s="19"/>
      <c r="DJ101" s="22"/>
      <c r="DK101" s="22"/>
      <c r="DL101" s="22"/>
      <c r="DM101" s="22"/>
      <c r="DN101" s="76"/>
      <c r="DO101" s="22"/>
      <c r="DP101" s="20"/>
      <c r="DQ101" s="22"/>
      <c r="DR101" s="22"/>
      <c r="DS101" s="19"/>
      <c r="DT101" s="23"/>
      <c r="DU101" s="22"/>
      <c r="DV101" s="22"/>
      <c r="DW101" s="22"/>
      <c r="DX101" s="22"/>
      <c r="DY101" s="22"/>
      <c r="DZ101" s="19"/>
      <c r="EA101" s="23"/>
      <c r="EB101" s="19"/>
      <c r="EC101" s="19"/>
      <c r="ED101" s="19"/>
      <c r="EE101" s="19"/>
      <c r="EF101" s="19"/>
      <c r="EG101" s="19"/>
      <c r="EH101" s="19"/>
      <c r="EI101" s="19"/>
      <c r="EJ101" s="19"/>
      <c r="EK101" s="19"/>
      <c r="EL101" s="19"/>
      <c r="EM101" s="19"/>
      <c r="EN101" s="19"/>
      <c r="EO101" s="19"/>
    </row>
    <row r="102" spans="1:145" s="36" customFormat="1">
      <c r="A102" s="36" t="s">
        <v>170</v>
      </c>
      <c r="B102" s="36">
        <v>5</v>
      </c>
      <c r="C102" s="36" t="s">
        <v>163</v>
      </c>
      <c r="D102" s="36" t="s">
        <v>193</v>
      </c>
      <c r="E102" s="36" t="s">
        <v>192</v>
      </c>
      <c r="G102" s="19">
        <v>42.33</v>
      </c>
      <c r="H102" s="19"/>
      <c r="I102" s="19"/>
      <c r="J102" s="19"/>
      <c r="K102" s="19"/>
      <c r="L102" s="19"/>
      <c r="M102" s="19">
        <v>15.41</v>
      </c>
      <c r="N102" s="19">
        <v>0.95</v>
      </c>
      <c r="O102" s="19">
        <v>7.6</v>
      </c>
      <c r="P102" s="19"/>
      <c r="Q102" s="19"/>
      <c r="R102" s="19"/>
      <c r="S102" s="19"/>
      <c r="U102" s="75">
        <v>0.71036999999999995</v>
      </c>
      <c r="W102" s="19"/>
      <c r="X102" s="19"/>
      <c r="Y102" s="19"/>
      <c r="Z102" s="19"/>
      <c r="AA102" s="19"/>
      <c r="AB102" s="22"/>
      <c r="AC102" s="22"/>
      <c r="AF102" s="19"/>
      <c r="AG102" s="20"/>
      <c r="AH102" s="20">
        <f>O102*8302</f>
        <v>63095.199999999997</v>
      </c>
      <c r="AI102" s="20"/>
      <c r="AJ102" s="19">
        <f>N102+O102</f>
        <v>8.5499999999999989</v>
      </c>
      <c r="AK102" s="19">
        <f>O102/N102</f>
        <v>8</v>
      </c>
      <c r="AL102" s="19">
        <f>N102/O102</f>
        <v>0.125</v>
      </c>
      <c r="AM102" s="19"/>
      <c r="AN102" s="19"/>
      <c r="AO102" s="19"/>
      <c r="AP102" s="19"/>
      <c r="AQ102" s="19"/>
      <c r="AR102" s="20"/>
      <c r="AS102" s="20"/>
      <c r="AU102" s="19">
        <f>O102/G102</f>
        <v>0.17954169619655092</v>
      </c>
      <c r="AV102" s="19"/>
      <c r="AX102" s="20">
        <v>445</v>
      </c>
      <c r="AY102" s="20">
        <v>1729</v>
      </c>
      <c r="AZ102" s="20"/>
      <c r="BA102" s="22"/>
      <c r="BB102" s="22"/>
      <c r="BC102" s="22"/>
      <c r="BD102" s="22">
        <v>880</v>
      </c>
      <c r="BE102" s="22"/>
      <c r="BF102" s="22">
        <v>125</v>
      </c>
      <c r="BG102" s="22"/>
      <c r="BH102" s="22"/>
      <c r="BJ102" s="20"/>
      <c r="BK102" s="20"/>
      <c r="BL102" s="22"/>
      <c r="BM102" s="22"/>
      <c r="BN102" s="20"/>
      <c r="BO102" s="20">
        <v>156</v>
      </c>
      <c r="BP102" s="20"/>
      <c r="BQ102" s="22"/>
      <c r="BR102" s="22"/>
      <c r="BS102" s="22"/>
      <c r="BT102" s="22"/>
      <c r="BU102" s="22"/>
      <c r="BV102" s="22"/>
      <c r="BW102" s="19"/>
      <c r="BX102" s="19"/>
      <c r="BY102" s="19"/>
      <c r="BZ102" s="22"/>
      <c r="CA102" s="19"/>
      <c r="CB102" s="20"/>
      <c r="CC102" s="20">
        <v>33</v>
      </c>
      <c r="CD102" s="22"/>
      <c r="CE102" s="22"/>
      <c r="CG102" s="22"/>
      <c r="CH102" s="22"/>
      <c r="CI102" s="22"/>
      <c r="CJ102" s="22"/>
      <c r="CK102" s="22"/>
      <c r="CL102" s="22"/>
      <c r="CM102" s="22"/>
      <c r="CN102" s="22"/>
      <c r="CO102" s="22"/>
      <c r="CP102" s="22"/>
      <c r="CQ102" s="22"/>
      <c r="CR102" s="22"/>
      <c r="CS102" s="22"/>
      <c r="CT102" s="22"/>
      <c r="CU102" s="22"/>
      <c r="CV102" s="22"/>
      <c r="CW102" s="22"/>
      <c r="CX102" s="20"/>
      <c r="CY102" s="22"/>
      <c r="CZ102" s="22"/>
      <c r="DA102" s="22"/>
      <c r="DB102" s="22"/>
      <c r="DC102" s="22"/>
      <c r="DD102" s="22"/>
      <c r="DE102" s="22"/>
      <c r="DF102" s="22"/>
      <c r="DG102" s="19"/>
      <c r="DH102" s="20"/>
      <c r="DI102" s="19"/>
      <c r="DJ102" s="22"/>
      <c r="DK102" s="22"/>
      <c r="DL102" s="22"/>
      <c r="DM102" s="22"/>
      <c r="DN102" s="76"/>
      <c r="DO102" s="22"/>
      <c r="DP102" s="20"/>
      <c r="DQ102" s="22"/>
      <c r="DR102" s="22"/>
      <c r="DS102" s="19"/>
      <c r="DT102" s="23"/>
      <c r="DU102" s="22"/>
      <c r="DV102" s="22"/>
      <c r="DW102" s="22"/>
      <c r="DX102" s="22"/>
      <c r="DY102" s="22"/>
      <c r="DZ102" s="19"/>
      <c r="EA102" s="23"/>
      <c r="EB102" s="19"/>
      <c r="EC102" s="19"/>
      <c r="ED102" s="19"/>
      <c r="EE102" s="19"/>
      <c r="EF102" s="19"/>
      <c r="EG102" s="19"/>
      <c r="EH102" s="19"/>
      <c r="EI102" s="19"/>
      <c r="EJ102" s="19"/>
      <c r="EK102" s="19"/>
      <c r="EL102" s="19"/>
      <c r="EM102" s="19"/>
      <c r="EN102" s="19"/>
      <c r="EO102" s="19"/>
    </row>
    <row r="103" spans="1:145">
      <c r="A103" s="36" t="s">
        <v>170</v>
      </c>
      <c r="B103" s="36">
        <v>5</v>
      </c>
      <c r="C103" s="78" t="s">
        <v>169</v>
      </c>
      <c r="D103" s="36" t="s">
        <v>168</v>
      </c>
      <c r="E103" s="88" t="s">
        <v>191</v>
      </c>
      <c r="F103" s="78"/>
      <c r="G103" s="79">
        <v>41.15</v>
      </c>
      <c r="H103" s="79">
        <v>0.72899999999999998</v>
      </c>
      <c r="I103" s="79">
        <v>9.9499999999999993</v>
      </c>
      <c r="J103" s="79">
        <v>7.16</v>
      </c>
      <c r="K103" s="79">
        <v>0.121</v>
      </c>
      <c r="L103" s="79">
        <v>12.56</v>
      </c>
      <c r="M103" s="79">
        <v>16.079999999999998</v>
      </c>
      <c r="N103" s="79">
        <v>1.07</v>
      </c>
      <c r="O103" s="79">
        <v>7.55</v>
      </c>
      <c r="P103" s="79">
        <v>0.39</v>
      </c>
      <c r="Q103" s="79">
        <v>1.1499999999999999</v>
      </c>
      <c r="R103" s="79">
        <v>0.74</v>
      </c>
      <c r="S103" s="19">
        <f>SUM(G103:R103)</f>
        <v>98.649999999999977</v>
      </c>
      <c r="T103" s="80"/>
      <c r="U103" s="81"/>
      <c r="V103" s="80"/>
      <c r="W103" s="79"/>
      <c r="X103" s="79"/>
      <c r="Y103" s="79"/>
      <c r="Z103" s="79"/>
      <c r="AA103" s="79"/>
      <c r="AB103" s="89"/>
      <c r="AC103" s="89"/>
      <c r="AD103" s="19"/>
      <c r="AE103" s="19"/>
      <c r="AF103" s="19">
        <f>(L103/40.31)/((L103/40.31)+(J103-(J103*0.15))*0.8998/71.85)</f>
        <v>0.80346449709595291</v>
      </c>
      <c r="AG103" s="20">
        <f>H103*5995</f>
        <v>4370.3549999999996</v>
      </c>
      <c r="AH103" s="20">
        <f>O103*8302</f>
        <v>62680.1</v>
      </c>
      <c r="AI103" s="20">
        <f>P103*4364</f>
        <v>1701.96</v>
      </c>
      <c r="AJ103" s="19">
        <f>N103+O103</f>
        <v>8.6199999999999992</v>
      </c>
      <c r="AK103" s="19">
        <f>O103/N103</f>
        <v>7.05607476635514</v>
      </c>
      <c r="AL103" s="19">
        <f>N103/O103</f>
        <v>0.14172185430463577</v>
      </c>
      <c r="AM103" s="19">
        <f>EK103/EG103</f>
        <v>1.6160804020100501</v>
      </c>
      <c r="AN103" s="19">
        <f>O103/I103</f>
        <v>0.7587939698492463</v>
      </c>
      <c r="AO103" s="19">
        <f>(EL103/61.98+EM103/94.2)/(EG103/101.96)</f>
        <v>0.9982063673776318</v>
      </c>
      <c r="AP103" s="19">
        <f>1/AO103</f>
        <v>1.0017968555210484</v>
      </c>
      <c r="AQ103" s="19">
        <f>(EG103/101.96)/((EK103/56.08)+(EL103/61.98)+(EM103/94.2))</f>
        <v>0.25403731466888824</v>
      </c>
      <c r="AR103" s="20">
        <f>1000*(4*(EE103/60.08)-11*(EL103/61.98*2+EM103/94.2*2)-2*(EH103/159.69*2+EF103/79.87))</f>
        <v>412.36947290956584</v>
      </c>
      <c r="AS103" s="20">
        <f>1000*(6*(EK103/56.08)+2*(EJ103/40.3)+EG103/101.96*2)</f>
        <v>2623.9138793792031</v>
      </c>
      <c r="AT103" s="80"/>
      <c r="AU103" s="79">
        <f>O103/G103</f>
        <v>0.18347509113001215</v>
      </c>
      <c r="AV103" s="79">
        <f>(O103/94.2)/(I103/101.96)</f>
        <v>0.82130183827844094</v>
      </c>
      <c r="AW103" s="80"/>
      <c r="AX103" s="85">
        <v>470</v>
      </c>
      <c r="AY103" s="85">
        <v>1744</v>
      </c>
      <c r="AZ103" s="85">
        <v>646</v>
      </c>
      <c r="BA103" s="89">
        <v>38.200000000000003</v>
      </c>
      <c r="BB103" s="89">
        <v>21</v>
      </c>
      <c r="BC103" s="89">
        <v>149</v>
      </c>
      <c r="BD103" s="89">
        <v>870</v>
      </c>
      <c r="BE103" s="89">
        <v>37</v>
      </c>
      <c r="BF103" s="89">
        <v>150</v>
      </c>
      <c r="BG103" s="89">
        <v>30</v>
      </c>
      <c r="BH103" s="89">
        <v>90</v>
      </c>
      <c r="BI103" s="80">
        <v>30</v>
      </c>
      <c r="BJ103" s="85">
        <v>313</v>
      </c>
      <c r="BK103" s="85">
        <v>14</v>
      </c>
      <c r="BL103" s="89">
        <v>8.6</v>
      </c>
      <c r="BM103" s="89">
        <v>0.9</v>
      </c>
      <c r="BN103" s="85">
        <v>83.3</v>
      </c>
      <c r="BO103" s="85">
        <v>187</v>
      </c>
      <c r="BP103" s="85">
        <v>23.2</v>
      </c>
      <c r="BQ103" s="89">
        <v>90.4</v>
      </c>
      <c r="BR103" s="89">
        <v>17.600000000000001</v>
      </c>
      <c r="BS103" s="89">
        <v>3.31</v>
      </c>
      <c r="BT103" s="89">
        <v>12</v>
      </c>
      <c r="BU103" s="89">
        <v>1.5</v>
      </c>
      <c r="BV103" s="89">
        <v>7.7</v>
      </c>
      <c r="BW103" s="79">
        <v>1.2</v>
      </c>
      <c r="BX103" s="79">
        <v>3.1</v>
      </c>
      <c r="BY103" s="79">
        <v>0.39</v>
      </c>
      <c r="BZ103" s="89">
        <v>2.2000000000000002</v>
      </c>
      <c r="CA103" s="79">
        <v>0.32</v>
      </c>
      <c r="CB103" s="85">
        <v>28</v>
      </c>
      <c r="CC103" s="85">
        <v>38.1</v>
      </c>
      <c r="CD103" s="89">
        <v>5.0999999999999996</v>
      </c>
      <c r="CE103" s="89">
        <v>14</v>
      </c>
      <c r="CF103" s="80"/>
      <c r="CG103" s="22">
        <f>BN103/0.242</f>
        <v>344.21487603305786</v>
      </c>
      <c r="CH103" s="22">
        <f>BO103/0.635</f>
        <v>294.48818897637796</v>
      </c>
      <c r="CI103" s="22">
        <f>BP103/0.0963</f>
        <v>240.91381100726895</v>
      </c>
      <c r="CJ103" s="22">
        <f>BQ103/0.48</f>
        <v>188.33333333333334</v>
      </c>
      <c r="CK103" s="22">
        <f>BR103/0.156</f>
        <v>112.82051282051283</v>
      </c>
      <c r="CL103" s="22">
        <f>BS103/0.0591</f>
        <v>56.006768189509309</v>
      </c>
      <c r="CM103" s="22">
        <f>BT103/0.212</f>
        <v>56.60377358490566</v>
      </c>
      <c r="CN103" s="22">
        <f>BU103/0.0376</f>
        <v>39.893617021276597</v>
      </c>
      <c r="CO103" s="22">
        <f>BV103/0.259</f>
        <v>29.72972972972973</v>
      </c>
      <c r="CP103" s="22">
        <f>BW103/0.0585</f>
        <v>20.512820512820511</v>
      </c>
      <c r="CQ103" s="22">
        <f>BX103/0.163</f>
        <v>19.018404907975459</v>
      </c>
      <c r="CR103" s="22">
        <f>BY103/0.0256</f>
        <v>15.234375</v>
      </c>
      <c r="CS103" s="22">
        <f>BZ103/0.166</f>
        <v>13.253012048192771</v>
      </c>
      <c r="CT103" s="22">
        <f>CA103/0.024</f>
        <v>13.333333333333334</v>
      </c>
      <c r="CU103" s="22">
        <f>AZ103/BK103</f>
        <v>46.142857142857146</v>
      </c>
      <c r="CV103" s="22">
        <f>AZ103/BN103</f>
        <v>7.7551020408163271</v>
      </c>
      <c r="CW103" s="22">
        <f>BN103/BK103</f>
        <v>5.95</v>
      </c>
      <c r="CX103" s="20">
        <f>AG103/BK103</f>
        <v>312.16821428571427</v>
      </c>
      <c r="CY103" s="22">
        <f>BO103/CB103</f>
        <v>6.6785714285714288</v>
      </c>
      <c r="CZ103" s="22">
        <f>BK103/CD103</f>
        <v>2.7450980392156863</v>
      </c>
      <c r="DA103" s="22">
        <f>AX103/BR103</f>
        <v>26.704545454545453</v>
      </c>
      <c r="DB103" s="22">
        <f>BJ103/BK103</f>
        <v>22.357142857142858</v>
      </c>
      <c r="DC103" s="22">
        <f>AZ103/CC103</f>
        <v>16.955380577427821</v>
      </c>
      <c r="DD103" s="22">
        <f>CC103/BM103</f>
        <v>42.333333333333336</v>
      </c>
      <c r="DE103" s="22">
        <f>BM103/BZ103</f>
        <v>0.40909090909090906</v>
      </c>
      <c r="DF103" s="22">
        <f>CC103/BZ103</f>
        <v>17.318181818181817</v>
      </c>
      <c r="DG103" s="19">
        <f>BK103/BI103</f>
        <v>0.46666666666666667</v>
      </c>
      <c r="DH103" s="20">
        <f>AH103/BN103</f>
        <v>752.46218487394958</v>
      </c>
      <c r="DI103" s="19">
        <f>(BK103/0.46)/((O103/0.023)*(CD103/0.017))^0.5</f>
        <v>9.6983983625906461E-2</v>
      </c>
      <c r="DJ103" s="22">
        <f>BN103/CA103</f>
        <v>260.3125</v>
      </c>
      <c r="DK103" s="22">
        <f>CG103/CT103</f>
        <v>25.816115702479337</v>
      </c>
      <c r="DL103" s="22">
        <f>CG103/CK103</f>
        <v>3.0509954921111944</v>
      </c>
      <c r="DM103" s="22">
        <f>BN103/BZ103</f>
        <v>37.86363636363636</v>
      </c>
      <c r="DN103" s="76">
        <f>BL103/BQ103</f>
        <v>9.5132743362831854E-2</v>
      </c>
      <c r="DO103" s="22">
        <f>BR103/BZ103</f>
        <v>8</v>
      </c>
      <c r="DP103" s="20">
        <f>AY103/BZ103</f>
        <v>792.72727272727263</v>
      </c>
      <c r="DQ103" s="22">
        <f>AY103/BQ103</f>
        <v>19.292035398230087</v>
      </c>
      <c r="DR103" s="22">
        <f>AY103/(((BR103/0.195)*(BT103/0.259))^0.5)</f>
        <v>26.969116006681013</v>
      </c>
      <c r="DS103" s="19">
        <f>(BS103/0.074)/(((BR103/0.195)*(BT103/0.259))^0.5)</f>
        <v>0.69169797593381288</v>
      </c>
      <c r="DT103" s="23">
        <f>1/AY103</f>
        <v>5.7339449541284407E-4</v>
      </c>
      <c r="DU103" s="22">
        <f>BJ103/BI103</f>
        <v>10.433333333333334</v>
      </c>
      <c r="DV103" s="22">
        <f>BK103/BM103</f>
        <v>15.555555555555555</v>
      </c>
      <c r="DW103" s="22">
        <f>1.74+LOG(BK103/BI103)-1.92*LOG(BJ103/BI103)</f>
        <v>-0.54636553806885346</v>
      </c>
      <c r="DX103" s="22">
        <f>BK103*100/BJ103</f>
        <v>4.4728434504792336</v>
      </c>
      <c r="DY103" s="22">
        <f>CC103*100/BJ103</f>
        <v>12.172523961661343</v>
      </c>
      <c r="DZ103" s="19">
        <f>EK103*100/AY103</f>
        <v>0.9528920510788067</v>
      </c>
      <c r="EA103" s="23">
        <f>BA103/BN103</f>
        <v>0.45858343337334939</v>
      </c>
      <c r="EB103" s="19">
        <f>CC103/BK103</f>
        <v>2.7214285714285715</v>
      </c>
      <c r="EC103" s="19">
        <f>(CB103/0.144)/(CH103*CI103)^(1/2)</f>
        <v>0.73001326168287961</v>
      </c>
      <c r="ED103" s="19"/>
      <c r="EE103" s="19">
        <f t="shared" ref="EE103:EN104" si="190">100*G103/($G103+$H103+$I103+$J103+$K103+$L103+$M103+$N103+$O103+$P103)</f>
        <v>42.527904092600259</v>
      </c>
      <c r="EF103" s="19">
        <f t="shared" si="190"/>
        <v>0.75341050020669709</v>
      </c>
      <c r="EG103" s="19">
        <f t="shared" si="190"/>
        <v>10.283174865646963</v>
      </c>
      <c r="EH103" s="19">
        <f t="shared" si="190"/>
        <v>7.3997519636213331</v>
      </c>
      <c r="EI103" s="19">
        <f t="shared" si="190"/>
        <v>0.12505167424555605</v>
      </c>
      <c r="EJ103" s="19">
        <f t="shared" si="190"/>
        <v>12.980570483670942</v>
      </c>
      <c r="EK103" s="19">
        <f t="shared" si="190"/>
        <v>16.618437370814387</v>
      </c>
      <c r="EL103" s="19">
        <f t="shared" si="190"/>
        <v>1.1058288548987187</v>
      </c>
      <c r="EM103" s="19">
        <f t="shared" si="190"/>
        <v>7.802811078958249</v>
      </c>
      <c r="EN103" s="19">
        <f t="shared" si="190"/>
        <v>0.40305911533691618</v>
      </c>
      <c r="EO103" s="19">
        <f>SUM(EE103:EN103)</f>
        <v>100.00000000000001</v>
      </c>
    </row>
    <row r="104" spans="1:145">
      <c r="A104" s="36" t="s">
        <v>170</v>
      </c>
      <c r="B104" s="36">
        <v>5</v>
      </c>
      <c r="C104" s="78" t="s">
        <v>169</v>
      </c>
      <c r="D104" s="36" t="s">
        <v>168</v>
      </c>
      <c r="E104" s="88" t="s">
        <v>191</v>
      </c>
      <c r="F104" s="78"/>
      <c r="G104" s="79">
        <v>41.95</v>
      </c>
      <c r="H104" s="79">
        <v>0.746</v>
      </c>
      <c r="I104" s="79">
        <v>10.01</v>
      </c>
      <c r="J104" s="79">
        <v>7.36</v>
      </c>
      <c r="K104" s="79">
        <v>0.123</v>
      </c>
      <c r="L104" s="79">
        <v>12.79</v>
      </c>
      <c r="M104" s="79">
        <v>15.35</v>
      </c>
      <c r="N104" s="79">
        <v>0.96</v>
      </c>
      <c r="O104" s="79">
        <v>7.26</v>
      </c>
      <c r="P104" s="79">
        <v>0.4</v>
      </c>
      <c r="Q104" s="79">
        <v>1.1399999999999999</v>
      </c>
      <c r="R104" s="79">
        <v>0.17</v>
      </c>
      <c r="S104" s="19">
        <f>SUM(G104:R104)</f>
        <v>98.259</v>
      </c>
      <c r="T104" s="80"/>
      <c r="U104" s="81"/>
      <c r="V104" s="80"/>
      <c r="W104" s="79"/>
      <c r="X104" s="79"/>
      <c r="Y104" s="79"/>
      <c r="Z104" s="79"/>
      <c r="AA104" s="79"/>
      <c r="AB104" s="89"/>
      <c r="AC104" s="89"/>
      <c r="AD104" s="19"/>
      <c r="AE104" s="19"/>
      <c r="AF104" s="19">
        <f>(L104/40.31)/((L104/40.31)+(J104-(J104*0.15))*0.8998/71.85)</f>
        <v>0.80197535896973815</v>
      </c>
      <c r="AG104" s="20">
        <f>H104*5995</f>
        <v>4472.2699999999995</v>
      </c>
      <c r="AH104" s="20">
        <f>O104*8302</f>
        <v>60272.52</v>
      </c>
      <c r="AI104" s="20">
        <f>P104*4364</f>
        <v>1745.6000000000001</v>
      </c>
      <c r="AJ104" s="19">
        <f>N104+O104</f>
        <v>8.2199999999999989</v>
      </c>
      <c r="AK104" s="19">
        <f>O104/N104</f>
        <v>7.5625</v>
      </c>
      <c r="AL104" s="19">
        <f>N104/O104</f>
        <v>0.13223140495867769</v>
      </c>
      <c r="AM104" s="19">
        <f>EK104/EG104</f>
        <v>1.5334665334665334</v>
      </c>
      <c r="AN104" s="19">
        <f>O104/I104</f>
        <v>0.72527472527472525</v>
      </c>
      <c r="AO104" s="19">
        <f>(EL104/61.98+EM104/94.2)/(EG104/101.96)</f>
        <v>0.94278807312516566</v>
      </c>
      <c r="AP104" s="19">
        <f>1/AO104</f>
        <v>1.0606837618184832</v>
      </c>
      <c r="AQ104" s="19">
        <f>(EG104/101.96)/((EK104/56.08)+(EL104/61.98)+(EM104/94.2))</f>
        <v>0.26803833610008232</v>
      </c>
      <c r="AR104" s="20">
        <f>1000*(4*(EE104/60.08)-11*(EL104/61.98*2+EM104/94.2*2)-2*(EH104/159.69*2+EF104/79.87))</f>
        <v>571.03086345748591</v>
      </c>
      <c r="AS104" s="20">
        <f>1000*(6*(EK104/56.08)+2*(EJ104/40.3)+EG104/101.96*2)</f>
        <v>2551.2255757804851</v>
      </c>
      <c r="AT104" s="80"/>
      <c r="AU104" s="79">
        <f>O104/G104</f>
        <v>0.17306317044100117</v>
      </c>
      <c r="AV104" s="79">
        <f>(O104/94.2)/(I104/101.96)</f>
        <v>0.78502134807867285</v>
      </c>
      <c r="AW104" s="80"/>
      <c r="AX104" s="85">
        <v>485</v>
      </c>
      <c r="AY104" s="85">
        <v>1768</v>
      </c>
      <c r="AZ104" s="85">
        <v>689</v>
      </c>
      <c r="BA104" s="89">
        <v>34.9</v>
      </c>
      <c r="BB104" s="89">
        <v>23</v>
      </c>
      <c r="BC104" s="89">
        <v>156</v>
      </c>
      <c r="BD104" s="89">
        <v>780</v>
      </c>
      <c r="BE104" s="89">
        <v>36</v>
      </c>
      <c r="BF104" s="89">
        <v>120</v>
      </c>
      <c r="BG104" s="89">
        <v>30</v>
      </c>
      <c r="BH104" s="89">
        <v>80</v>
      </c>
      <c r="BI104" s="80">
        <v>30</v>
      </c>
      <c r="BJ104" s="85">
        <v>353</v>
      </c>
      <c r="BK104" s="85">
        <v>15</v>
      </c>
      <c r="BL104" s="89">
        <v>8.8000000000000007</v>
      </c>
      <c r="BM104" s="89">
        <v>0.7</v>
      </c>
      <c r="BN104" s="85">
        <v>84.9</v>
      </c>
      <c r="BO104" s="85">
        <v>190</v>
      </c>
      <c r="BP104" s="85">
        <v>23.7</v>
      </c>
      <c r="BQ104" s="89">
        <v>93</v>
      </c>
      <c r="BR104" s="89">
        <v>17.899999999999999</v>
      </c>
      <c r="BS104" s="89">
        <v>3.46</v>
      </c>
      <c r="BT104" s="89">
        <v>12.2</v>
      </c>
      <c r="BU104" s="89">
        <v>1.6</v>
      </c>
      <c r="BV104" s="89">
        <v>7.7</v>
      </c>
      <c r="BW104" s="79">
        <v>1.3</v>
      </c>
      <c r="BX104" s="79">
        <v>3</v>
      </c>
      <c r="BY104" s="79">
        <v>0.39</v>
      </c>
      <c r="BZ104" s="89">
        <v>2.2999999999999998</v>
      </c>
      <c r="CA104" s="79">
        <v>0.33</v>
      </c>
      <c r="CB104" s="85">
        <v>30</v>
      </c>
      <c r="CC104" s="85">
        <v>38.6</v>
      </c>
      <c r="CD104" s="89">
        <v>9.8000000000000007</v>
      </c>
      <c r="CE104" s="89">
        <v>13</v>
      </c>
      <c r="CF104" s="80"/>
      <c r="CG104" s="22">
        <f>BN104/0.242</f>
        <v>350.82644628099177</v>
      </c>
      <c r="CH104" s="22">
        <f>BO104/0.635</f>
        <v>299.21259842519686</v>
      </c>
      <c r="CI104" s="22">
        <f>BP104/0.0963</f>
        <v>246.10591900311528</v>
      </c>
      <c r="CJ104" s="22">
        <f>BQ104/0.48</f>
        <v>193.75</v>
      </c>
      <c r="CK104" s="22">
        <f>BR104/0.156</f>
        <v>114.74358974358974</v>
      </c>
      <c r="CL104" s="22">
        <f>BS104/0.0591</f>
        <v>58.544839255499156</v>
      </c>
      <c r="CM104" s="22">
        <f>BT104/0.212</f>
        <v>57.547169811320749</v>
      </c>
      <c r="CN104" s="22">
        <f>BU104/0.0376</f>
        <v>42.553191489361701</v>
      </c>
      <c r="CO104" s="22">
        <f>BV104/0.259</f>
        <v>29.72972972972973</v>
      </c>
      <c r="CP104" s="22">
        <f>BW104/0.0585</f>
        <v>22.222222222222221</v>
      </c>
      <c r="CQ104" s="22">
        <f>BX104/0.163</f>
        <v>18.404907975460123</v>
      </c>
      <c r="CR104" s="22">
        <f>BY104/0.0256</f>
        <v>15.234375</v>
      </c>
      <c r="CS104" s="22">
        <f>BZ104/0.166</f>
        <v>13.855421686746986</v>
      </c>
      <c r="CT104" s="22">
        <f>CA104/0.024</f>
        <v>13.75</v>
      </c>
      <c r="CU104" s="22">
        <f>AZ104/BK104</f>
        <v>45.93333333333333</v>
      </c>
      <c r="CV104" s="22">
        <f>AZ104/BN104</f>
        <v>8.1154299175500579</v>
      </c>
      <c r="CW104" s="22">
        <f>BN104/BK104</f>
        <v>5.66</v>
      </c>
      <c r="CX104" s="20">
        <f>AG104/BK104</f>
        <v>298.1513333333333</v>
      </c>
      <c r="CY104" s="22">
        <f>BO104/CB104</f>
        <v>6.333333333333333</v>
      </c>
      <c r="CZ104" s="22">
        <f>BK104/CD104</f>
        <v>1.5306122448979591</v>
      </c>
      <c r="DA104" s="22">
        <f>AX104/BR104</f>
        <v>27.094972067039109</v>
      </c>
      <c r="DB104" s="22">
        <f>BJ104/BK104</f>
        <v>23.533333333333335</v>
      </c>
      <c r="DC104" s="22">
        <f>AZ104/CC104</f>
        <v>17.849740932642487</v>
      </c>
      <c r="DD104" s="22">
        <f>CC104/BM104</f>
        <v>55.142857142857146</v>
      </c>
      <c r="DE104" s="22">
        <f>BM104/BZ104</f>
        <v>0.30434782608695654</v>
      </c>
      <c r="DF104" s="22">
        <f>CC104/BZ104</f>
        <v>16.782608695652176</v>
      </c>
      <c r="DG104" s="19">
        <f>BK104/BI104</f>
        <v>0.5</v>
      </c>
      <c r="DH104" s="20">
        <f>AH104/BN104</f>
        <v>709.92367491166067</v>
      </c>
      <c r="DI104" s="19">
        <f>(BK104/0.46)/((O104/0.023)*(CD104/0.017))^0.5</f>
        <v>7.644348145997916E-2</v>
      </c>
      <c r="DJ104" s="22">
        <f>BN104/CA104</f>
        <v>257.27272727272725</v>
      </c>
      <c r="DK104" s="22">
        <f>CG104/CT104</f>
        <v>25.514650638617585</v>
      </c>
      <c r="DL104" s="22">
        <f>CG104/CK104</f>
        <v>3.0574818782030571</v>
      </c>
      <c r="DM104" s="22">
        <f>BN104/BZ104</f>
        <v>36.913043478260875</v>
      </c>
      <c r="DN104" s="76">
        <f>BL104/BQ104</f>
        <v>9.4623655913978505E-2</v>
      </c>
      <c r="DO104" s="22">
        <f>BR104/BZ104</f>
        <v>7.7826086956521738</v>
      </c>
      <c r="DP104" s="20">
        <f>AY104/BZ104</f>
        <v>768.69565217391312</v>
      </c>
      <c r="DQ104" s="22">
        <f>AY104/BQ104</f>
        <v>19.010752688172044</v>
      </c>
      <c r="DR104" s="22">
        <f>AY104/(((BR104/0.195)*(BT104/0.259))^0.5)</f>
        <v>26.8870415037477</v>
      </c>
      <c r="DS104" s="19">
        <f>(BS104/0.074)/(((BR104/0.195)*(BT104/0.259))^0.5)</f>
        <v>0.71105817844997432</v>
      </c>
      <c r="DT104" s="23">
        <f>1/AY104</f>
        <v>5.6561085972850684E-4</v>
      </c>
      <c r="DU104" s="22">
        <f>BJ104/BI104</f>
        <v>11.766666666666667</v>
      </c>
      <c r="DV104" s="22">
        <f>BK104/BM104</f>
        <v>21.428571428571431</v>
      </c>
      <c r="DW104" s="22">
        <f>1.74+LOG(BK104/BI104)-1.92*LOG(BJ104/BI104)</f>
        <v>-0.61668462094684862</v>
      </c>
      <c r="DX104" s="22">
        <f>BK104*100/BJ104</f>
        <v>4.2492917847025495</v>
      </c>
      <c r="DY104" s="22">
        <f>CC104*100/BJ104</f>
        <v>10.934844192634561</v>
      </c>
      <c r="DZ104" s="19">
        <f>EK104*100/AY104</f>
        <v>0.89553545645984789</v>
      </c>
      <c r="EA104" s="23">
        <f>BA104/BN104</f>
        <v>0.41107184923439338</v>
      </c>
      <c r="EB104" s="19">
        <f>CC104/BK104</f>
        <v>2.5733333333333333</v>
      </c>
      <c r="EC104" s="19">
        <f>(CB104/0.144)/(CH104*CI104)^(1/2)</f>
        <v>0.76772873396114927</v>
      </c>
      <c r="ED104" s="19"/>
      <c r="EE104" s="19">
        <f t="shared" si="190"/>
        <v>43.270172977544895</v>
      </c>
      <c r="EF104" s="19">
        <f t="shared" si="190"/>
        <v>0.76947673519066717</v>
      </c>
      <c r="EG104" s="19">
        <f t="shared" si="190"/>
        <v>10.325016245654933</v>
      </c>
      <c r="EH104" s="19">
        <f t="shared" si="190"/>
        <v>7.5916203364655646</v>
      </c>
      <c r="EI104" s="19">
        <f t="shared" si="190"/>
        <v>0.12687082899256311</v>
      </c>
      <c r="EJ104" s="19">
        <f t="shared" si="190"/>
        <v>13.19250327491774</v>
      </c>
      <c r="EK104" s="19">
        <f t="shared" si="190"/>
        <v>15.833066870210111</v>
      </c>
      <c r="EL104" s="19">
        <f t="shared" si="190"/>
        <v>0.99021134823463886</v>
      </c>
      <c r="EM104" s="19">
        <f t="shared" si="190"/>
        <v>7.4884733210244567</v>
      </c>
      <c r="EN104" s="19">
        <f t="shared" si="190"/>
        <v>0.41258806176443286</v>
      </c>
      <c r="EO104" s="19">
        <f>SUM(EE104:EN104)</f>
        <v>100.00000000000001</v>
      </c>
    </row>
    <row r="105" spans="1:145">
      <c r="A105" s="36" t="s">
        <v>170</v>
      </c>
      <c r="B105" s="36">
        <v>5</v>
      </c>
      <c r="C105" s="36" t="s">
        <v>163</v>
      </c>
      <c r="D105" s="36" t="s">
        <v>190</v>
      </c>
      <c r="E105" s="88" t="s">
        <v>189</v>
      </c>
      <c r="F105" s="78"/>
      <c r="G105" s="79"/>
      <c r="H105" s="79"/>
      <c r="I105" s="79"/>
      <c r="J105" s="79"/>
      <c r="K105" s="79"/>
      <c r="L105" s="79"/>
      <c r="M105" s="79"/>
      <c r="N105" s="79"/>
      <c r="O105" s="79"/>
      <c r="P105" s="79"/>
      <c r="Q105" s="79"/>
      <c r="R105" s="79"/>
      <c r="S105" s="79"/>
      <c r="T105" s="80"/>
      <c r="U105" s="86"/>
      <c r="V105" s="86"/>
      <c r="W105" s="79">
        <v>18.742000000000001</v>
      </c>
      <c r="X105" s="79">
        <v>15.662000000000001</v>
      </c>
      <c r="Y105" s="79">
        <v>38.929000000000002</v>
      </c>
      <c r="Z105" s="79"/>
      <c r="AA105" s="79"/>
      <c r="AB105" s="89"/>
      <c r="AC105" s="89"/>
      <c r="AD105" s="80"/>
      <c r="AE105" s="80"/>
      <c r="AF105" s="19"/>
      <c r="AG105" s="20"/>
      <c r="AH105" s="20"/>
      <c r="AI105" s="20"/>
      <c r="AJ105" s="19"/>
      <c r="AK105" s="19"/>
      <c r="AL105" s="19"/>
      <c r="AM105" s="19"/>
      <c r="AN105" s="19"/>
      <c r="AO105" s="19"/>
      <c r="AP105" s="19"/>
      <c r="AQ105" s="19"/>
      <c r="AR105" s="20"/>
      <c r="AS105" s="20"/>
      <c r="AT105" s="80"/>
      <c r="AU105" s="79"/>
      <c r="AV105" s="79"/>
      <c r="AW105" s="80"/>
      <c r="AX105" s="85"/>
      <c r="AY105" s="85"/>
      <c r="AZ105" s="85"/>
      <c r="BA105" s="89"/>
      <c r="BB105" s="89"/>
      <c r="BC105" s="89"/>
      <c r="BD105" s="89"/>
      <c r="BE105" s="89"/>
      <c r="BF105" s="89"/>
      <c r="BG105" s="89"/>
      <c r="BH105" s="89"/>
      <c r="BI105" s="80"/>
      <c r="BJ105" s="85"/>
      <c r="BK105" s="85"/>
      <c r="BL105" s="89"/>
      <c r="BM105" s="89"/>
      <c r="BN105" s="85"/>
      <c r="BO105" s="85"/>
      <c r="BP105" s="85"/>
      <c r="BQ105" s="89"/>
      <c r="BR105" s="89"/>
      <c r="BS105" s="89"/>
      <c r="BT105" s="89"/>
      <c r="BU105" s="89"/>
      <c r="BV105" s="89"/>
      <c r="BW105" s="79"/>
      <c r="BX105" s="79"/>
      <c r="BY105" s="79"/>
      <c r="BZ105" s="89"/>
      <c r="CA105" s="79"/>
      <c r="CB105" s="85"/>
      <c r="CC105" s="85"/>
      <c r="CD105" s="89"/>
      <c r="CE105" s="89"/>
      <c r="CF105" s="80"/>
      <c r="CG105" s="22"/>
      <c r="CH105" s="22"/>
      <c r="CI105" s="22"/>
      <c r="CJ105" s="22"/>
      <c r="CK105" s="22"/>
      <c r="CL105" s="22"/>
      <c r="CM105" s="22"/>
      <c r="CN105" s="22"/>
      <c r="CO105" s="22"/>
      <c r="CP105" s="22"/>
      <c r="CQ105" s="22"/>
      <c r="CR105" s="22"/>
      <c r="CS105" s="22"/>
      <c r="CT105" s="22"/>
      <c r="CU105" s="22"/>
      <c r="CV105" s="22"/>
      <c r="CW105" s="22"/>
      <c r="CX105" s="20"/>
      <c r="CY105" s="22"/>
      <c r="CZ105" s="22"/>
      <c r="DA105" s="22"/>
      <c r="DB105" s="22"/>
      <c r="DC105" s="22"/>
      <c r="DD105" s="22"/>
      <c r="DE105" s="22"/>
      <c r="DF105" s="22"/>
      <c r="DG105" s="19"/>
      <c r="DH105" s="20"/>
      <c r="DI105" s="19"/>
      <c r="DJ105" s="22"/>
      <c r="DK105" s="22"/>
      <c r="DL105" s="22"/>
      <c r="DM105" s="22"/>
      <c r="DN105" s="76"/>
      <c r="DO105" s="22"/>
      <c r="DP105" s="20"/>
      <c r="DQ105" s="22"/>
      <c r="DR105" s="22"/>
      <c r="DS105" s="19"/>
      <c r="DT105" s="23"/>
      <c r="DU105" s="22"/>
      <c r="DV105" s="22"/>
      <c r="DW105" s="22"/>
      <c r="DX105" s="22"/>
      <c r="DY105" s="22"/>
      <c r="DZ105" s="19"/>
      <c r="EA105" s="23"/>
      <c r="EB105" s="19"/>
      <c r="EC105" s="19"/>
      <c r="ED105" s="19"/>
      <c r="EE105" s="19"/>
      <c r="EF105" s="19"/>
      <c r="EG105" s="19"/>
      <c r="EH105" s="19"/>
      <c r="EI105" s="19"/>
      <c r="EJ105" s="19"/>
      <c r="EK105" s="19"/>
      <c r="EL105" s="19"/>
      <c r="EM105" s="19"/>
      <c r="EN105" s="19"/>
      <c r="EO105" s="19"/>
    </row>
    <row r="106" spans="1:145">
      <c r="A106" s="36" t="s">
        <v>170</v>
      </c>
      <c r="B106" s="36">
        <v>5</v>
      </c>
      <c r="C106" s="36" t="s">
        <v>163</v>
      </c>
      <c r="D106" s="36" t="s">
        <v>190</v>
      </c>
      <c r="E106" s="88" t="s">
        <v>189</v>
      </c>
      <c r="F106" s="78"/>
      <c r="G106" s="79"/>
      <c r="H106" s="79"/>
      <c r="I106" s="79"/>
      <c r="J106" s="79"/>
      <c r="K106" s="79"/>
      <c r="L106" s="79"/>
      <c r="M106" s="79"/>
      <c r="N106" s="79"/>
      <c r="O106" s="79"/>
      <c r="P106" s="79"/>
      <c r="Q106" s="79"/>
      <c r="R106" s="79"/>
      <c r="S106" s="79"/>
      <c r="T106" s="80"/>
      <c r="U106" s="86"/>
      <c r="V106" s="86"/>
      <c r="W106" s="79">
        <v>18.747</v>
      </c>
      <c r="X106" s="79">
        <v>16.667000000000002</v>
      </c>
      <c r="Y106" s="79">
        <v>38.951999999999998</v>
      </c>
      <c r="Z106" s="79"/>
      <c r="AA106" s="79"/>
      <c r="AB106" s="89"/>
      <c r="AC106" s="89"/>
      <c r="AD106" s="80"/>
      <c r="AE106" s="80"/>
      <c r="AF106" s="19"/>
      <c r="AG106" s="20"/>
      <c r="AH106" s="20"/>
      <c r="AI106" s="20"/>
      <c r="AJ106" s="19"/>
      <c r="AK106" s="19"/>
      <c r="AL106" s="19"/>
      <c r="AM106" s="19"/>
      <c r="AN106" s="19"/>
      <c r="AO106" s="19"/>
      <c r="AP106" s="19"/>
      <c r="AQ106" s="19"/>
      <c r="AR106" s="20"/>
      <c r="AS106" s="20"/>
      <c r="AT106" s="80"/>
      <c r="AU106" s="79"/>
      <c r="AV106" s="79"/>
      <c r="AW106" s="80"/>
      <c r="AX106" s="85"/>
      <c r="AY106" s="85"/>
      <c r="AZ106" s="85"/>
      <c r="BA106" s="89"/>
      <c r="BB106" s="89"/>
      <c r="BC106" s="89"/>
      <c r="BD106" s="89"/>
      <c r="BE106" s="89"/>
      <c r="BF106" s="89"/>
      <c r="BG106" s="89"/>
      <c r="BH106" s="89"/>
      <c r="BI106" s="80"/>
      <c r="BJ106" s="85"/>
      <c r="BK106" s="85"/>
      <c r="BL106" s="89"/>
      <c r="BM106" s="89"/>
      <c r="BN106" s="85"/>
      <c r="BO106" s="85"/>
      <c r="BP106" s="85"/>
      <c r="BQ106" s="89"/>
      <c r="BR106" s="89"/>
      <c r="BS106" s="89"/>
      <c r="BT106" s="89"/>
      <c r="BU106" s="89"/>
      <c r="BV106" s="89"/>
      <c r="BW106" s="79"/>
      <c r="BX106" s="79"/>
      <c r="BY106" s="79"/>
      <c r="BZ106" s="89"/>
      <c r="CA106" s="79"/>
      <c r="CB106" s="85"/>
      <c r="CC106" s="85"/>
      <c r="CD106" s="89"/>
      <c r="CE106" s="89"/>
      <c r="CF106" s="80"/>
      <c r="CG106" s="22"/>
      <c r="CH106" s="22"/>
      <c r="CI106" s="22"/>
      <c r="CJ106" s="22"/>
      <c r="CK106" s="22"/>
      <c r="CL106" s="22"/>
      <c r="CM106" s="22"/>
      <c r="CN106" s="22"/>
      <c r="CO106" s="22"/>
      <c r="CP106" s="22"/>
      <c r="CQ106" s="22"/>
      <c r="CR106" s="22"/>
      <c r="CS106" s="22"/>
      <c r="CT106" s="22"/>
      <c r="CU106" s="22"/>
      <c r="CV106" s="22"/>
      <c r="CW106" s="22"/>
      <c r="CX106" s="20"/>
      <c r="CY106" s="22"/>
      <c r="CZ106" s="22"/>
      <c r="DA106" s="22"/>
      <c r="DB106" s="22"/>
      <c r="DC106" s="22"/>
      <c r="DD106" s="22"/>
      <c r="DE106" s="22"/>
      <c r="DF106" s="22"/>
      <c r="DG106" s="19"/>
      <c r="DH106" s="20"/>
      <c r="DI106" s="19"/>
      <c r="DJ106" s="22"/>
      <c r="DK106" s="22"/>
      <c r="DL106" s="22"/>
      <c r="DM106" s="22"/>
      <c r="DN106" s="76"/>
      <c r="DO106" s="22"/>
      <c r="DP106" s="20"/>
      <c r="DQ106" s="22"/>
      <c r="DR106" s="22"/>
      <c r="DS106" s="19"/>
      <c r="DT106" s="23"/>
      <c r="DU106" s="22"/>
      <c r="DV106" s="22"/>
      <c r="DW106" s="22"/>
      <c r="DX106" s="22"/>
      <c r="DY106" s="22"/>
      <c r="DZ106" s="19"/>
      <c r="EA106" s="23"/>
      <c r="EB106" s="19"/>
      <c r="EC106" s="19"/>
      <c r="ED106" s="19"/>
      <c r="EE106" s="19"/>
      <c r="EF106" s="19"/>
      <c r="EG106" s="19"/>
      <c r="EH106" s="19"/>
      <c r="EI106" s="19"/>
      <c r="EJ106" s="19"/>
      <c r="EK106" s="19"/>
      <c r="EL106" s="19"/>
      <c r="EM106" s="19"/>
      <c r="EN106" s="19"/>
      <c r="EO106" s="19"/>
    </row>
    <row r="107" spans="1:145">
      <c r="A107" s="36" t="s">
        <v>163</v>
      </c>
      <c r="B107" s="36">
        <v>5</v>
      </c>
      <c r="C107" s="36" t="s">
        <v>163</v>
      </c>
      <c r="D107" s="1" t="s">
        <v>188</v>
      </c>
      <c r="E107" s="88" t="s">
        <v>161</v>
      </c>
      <c r="F107" s="96"/>
      <c r="G107" s="79">
        <v>41.15</v>
      </c>
      <c r="H107" s="79">
        <v>0.72899999999999998</v>
      </c>
      <c r="I107" s="79">
        <v>9.9499999999999993</v>
      </c>
      <c r="J107" s="79">
        <v>7.16</v>
      </c>
      <c r="K107" s="79">
        <v>0.121</v>
      </c>
      <c r="L107" s="79">
        <v>12.56</v>
      </c>
      <c r="M107" s="79">
        <v>16.079999999999998</v>
      </c>
      <c r="N107" s="79">
        <v>1.07</v>
      </c>
      <c r="O107" s="79">
        <v>7.55</v>
      </c>
      <c r="P107" s="79">
        <v>0.39</v>
      </c>
      <c r="Q107" s="79">
        <v>1.1499999999999999</v>
      </c>
      <c r="R107" s="79">
        <v>0.74</v>
      </c>
      <c r="S107" s="79">
        <f>SUM(G107:R107)</f>
        <v>98.649999999999977</v>
      </c>
      <c r="T107" s="80"/>
      <c r="U107" s="81"/>
      <c r="V107" s="80"/>
      <c r="W107" s="79"/>
      <c r="X107" s="79"/>
      <c r="Y107" s="79"/>
      <c r="Z107" s="79"/>
      <c r="AA107" s="79"/>
      <c r="AB107" s="79"/>
      <c r="AC107" s="79"/>
      <c r="AD107" s="79"/>
      <c r="AE107" s="19"/>
      <c r="AF107" s="19">
        <f>(L107/40.31)/((L107/40.31)+(J107-(J107*0.1189))*0.8998/71.85)</f>
        <v>0.79772812412007132</v>
      </c>
      <c r="AG107" s="20">
        <f>H107*5995</f>
        <v>4370.3549999999996</v>
      </c>
      <c r="AH107" s="20">
        <f>O107*8302</f>
        <v>62680.1</v>
      </c>
      <c r="AI107" s="20">
        <f>P107*4364</f>
        <v>1701.96</v>
      </c>
      <c r="AJ107" s="19">
        <f>N107+O107</f>
        <v>8.6199999999999992</v>
      </c>
      <c r="AK107" s="19">
        <f>O107/N107</f>
        <v>7.05607476635514</v>
      </c>
      <c r="AL107" s="19">
        <f>N107/O107</f>
        <v>0.14172185430463577</v>
      </c>
      <c r="AM107" s="19">
        <f>EK107/EG107</f>
        <v>1.6160804020100501</v>
      </c>
      <c r="AN107" s="19">
        <f>O107/I107</f>
        <v>0.7587939698492463</v>
      </c>
      <c r="AO107" s="19">
        <f>(EL107/61.98+EM107/94.2)/(EG107/101.96)</f>
        <v>0.9982063673776318</v>
      </c>
      <c r="AP107" s="19">
        <f>1/AO107</f>
        <v>1.0017968555210484</v>
      </c>
      <c r="AQ107" s="19">
        <f>(EG107/101.96)/((EK107/56.08)+(EL107/61.98)+(EM107/94.2))</f>
        <v>0.25403731466888824</v>
      </c>
      <c r="AR107" s="20">
        <f>1000*(4*(EE107/60.08)-11*(EL107/61.98+EM107/94.2)-2*(EH107/159.69+EF107/79.87))</f>
        <v>1612.4609674747367</v>
      </c>
      <c r="AS107" s="20">
        <f>1000*(6*(EK107/56.08)+2*(EJ107/40.3)+EG107/101.96)</f>
        <v>2523.0588885431207</v>
      </c>
      <c r="AT107" s="20"/>
      <c r="AU107" s="19">
        <f>O107/G107</f>
        <v>0.18347509113001215</v>
      </c>
      <c r="AV107" s="19">
        <f>(O107/94.2)/(I107/101.96)</f>
        <v>0.82130183827844094</v>
      </c>
      <c r="AW107" s="80"/>
      <c r="AX107" s="85">
        <v>470</v>
      </c>
      <c r="AY107" s="85">
        <v>1744</v>
      </c>
      <c r="AZ107" s="85">
        <v>646</v>
      </c>
      <c r="BA107" s="89">
        <v>38.200000000000003</v>
      </c>
      <c r="BB107" s="85">
        <v>21</v>
      </c>
      <c r="BC107" s="85">
        <v>149</v>
      </c>
      <c r="BD107" s="85">
        <v>870</v>
      </c>
      <c r="BE107" s="85">
        <v>37</v>
      </c>
      <c r="BF107" s="85">
        <v>150</v>
      </c>
      <c r="BG107" s="85">
        <v>30</v>
      </c>
      <c r="BH107" s="85">
        <v>90</v>
      </c>
      <c r="BI107" s="80">
        <v>30</v>
      </c>
      <c r="BJ107" s="85">
        <v>313</v>
      </c>
      <c r="BK107" s="85">
        <v>14</v>
      </c>
      <c r="BL107" s="89">
        <v>8.6</v>
      </c>
      <c r="BM107" s="89">
        <v>0.9</v>
      </c>
      <c r="BN107" s="85">
        <v>83.3</v>
      </c>
      <c r="BO107" s="85">
        <v>187</v>
      </c>
      <c r="BP107" s="85">
        <v>23.2</v>
      </c>
      <c r="BQ107" s="85">
        <v>90.4</v>
      </c>
      <c r="BR107" s="89">
        <v>17.600000000000001</v>
      </c>
      <c r="BS107" s="89">
        <v>3.31</v>
      </c>
      <c r="BT107" s="89">
        <v>12</v>
      </c>
      <c r="BU107" s="89">
        <v>1.5</v>
      </c>
      <c r="BV107" s="89">
        <v>7.7</v>
      </c>
      <c r="BW107" s="79">
        <v>1.2</v>
      </c>
      <c r="BX107" s="79">
        <v>3.1</v>
      </c>
      <c r="BY107" s="79">
        <v>0.39</v>
      </c>
      <c r="BZ107" s="89">
        <v>2.2000000000000002</v>
      </c>
      <c r="CA107" s="79">
        <v>0.32</v>
      </c>
      <c r="CB107" s="85">
        <v>28</v>
      </c>
      <c r="CC107" s="85">
        <v>38.1</v>
      </c>
      <c r="CD107" s="89">
        <v>5.0999999999999996</v>
      </c>
      <c r="CE107" s="89">
        <v>14</v>
      </c>
      <c r="CF107" s="85"/>
      <c r="CG107" s="22">
        <f>BN107/0.242</f>
        <v>344.21487603305786</v>
      </c>
      <c r="CH107" s="22">
        <f>BO107/0.635</f>
        <v>294.48818897637796</v>
      </c>
      <c r="CI107" s="22">
        <f>BP107/0.0963</f>
        <v>240.91381100726895</v>
      </c>
      <c r="CJ107" s="22">
        <f>BQ107/0.48</f>
        <v>188.33333333333334</v>
      </c>
      <c r="CK107" s="22">
        <f>BR107/0.156</f>
        <v>112.82051282051283</v>
      </c>
      <c r="CL107" s="22">
        <f>BS107/0.0591</f>
        <v>56.006768189509309</v>
      </c>
      <c r="CM107" s="22">
        <f>BT107/0.212</f>
        <v>56.60377358490566</v>
      </c>
      <c r="CN107" s="22">
        <f>BU107/0.0376</f>
        <v>39.893617021276597</v>
      </c>
      <c r="CO107" s="22">
        <f>BV107/0.259</f>
        <v>29.72972972972973</v>
      </c>
      <c r="CP107" s="22">
        <f>BW107/0.0585</f>
        <v>20.512820512820511</v>
      </c>
      <c r="CQ107" s="22">
        <f>BX107/0.163</f>
        <v>19.018404907975459</v>
      </c>
      <c r="CR107" s="22">
        <f>BY107/0.0256</f>
        <v>15.234375</v>
      </c>
      <c r="CS107" s="22">
        <f>BZ107/0.166</f>
        <v>13.253012048192771</v>
      </c>
      <c r="CT107" s="22">
        <f>CA107/0.024</f>
        <v>13.333333333333334</v>
      </c>
      <c r="CU107" s="22">
        <f>AZ107/BK107</f>
        <v>46.142857142857146</v>
      </c>
      <c r="CV107" s="22">
        <f>AZ107/BN107</f>
        <v>7.7551020408163271</v>
      </c>
      <c r="CW107" s="22">
        <f>BN107/BK107</f>
        <v>5.95</v>
      </c>
      <c r="CX107" s="20">
        <f>AG107/BK107</f>
        <v>312.16821428571427</v>
      </c>
      <c r="CY107" s="22">
        <f>BO107/CB107</f>
        <v>6.6785714285714288</v>
      </c>
      <c r="CZ107" s="22">
        <f>BK107/CD107</f>
        <v>2.7450980392156863</v>
      </c>
      <c r="DA107" s="22">
        <f>AX107/BR107</f>
        <v>26.704545454545453</v>
      </c>
      <c r="DB107" s="22">
        <f>BJ107/BK107</f>
        <v>22.357142857142858</v>
      </c>
      <c r="DC107" s="22">
        <f>AZ107/CC107</f>
        <v>16.955380577427821</v>
      </c>
      <c r="DD107" s="22">
        <f>CC107/BM107</f>
        <v>42.333333333333336</v>
      </c>
      <c r="DE107" s="22">
        <f>BM107/BZ107</f>
        <v>0.40909090909090906</v>
      </c>
      <c r="DF107" s="22">
        <f>CC107/BZ107</f>
        <v>17.318181818181817</v>
      </c>
      <c r="DG107" s="19">
        <f>BK107/BI107</f>
        <v>0.46666666666666667</v>
      </c>
      <c r="DH107" s="20">
        <f>AH107/BN107</f>
        <v>752.46218487394958</v>
      </c>
      <c r="DI107" s="19">
        <f>(BK107/0.46)/((O107/0.023)*(CD107/0.017))^0.5</f>
        <v>9.6983983625906461E-2</v>
      </c>
      <c r="DJ107" s="22">
        <f>BN107/CA107</f>
        <v>260.3125</v>
      </c>
      <c r="DK107" s="22">
        <f>CG107/CT107</f>
        <v>25.816115702479337</v>
      </c>
      <c r="DL107" s="22">
        <f>CG107/CK107</f>
        <v>3.0509954921111944</v>
      </c>
      <c r="DM107" s="22">
        <f>BN107/BZ107</f>
        <v>37.86363636363636</v>
      </c>
      <c r="DN107" s="76">
        <f>BL107/BQ107</f>
        <v>9.5132743362831854E-2</v>
      </c>
      <c r="DO107" s="22">
        <f>BR107/BZ107</f>
        <v>8</v>
      </c>
      <c r="DP107" s="20">
        <f>AY107/BZ107</f>
        <v>792.72727272727263</v>
      </c>
      <c r="DQ107" s="22">
        <f>AY107/BQ107</f>
        <v>19.292035398230087</v>
      </c>
      <c r="DR107" s="22">
        <f>AY107/(((BR107/0.195)*(BT107/0.259))^0.5)</f>
        <v>26.969116006681013</v>
      </c>
      <c r="DS107" s="19">
        <f>(BS107/0.074)/(((BR107/0.195)*(BT107/0.259))^0.5)</f>
        <v>0.69169797593381288</v>
      </c>
      <c r="DT107" s="23">
        <f>1/AY107</f>
        <v>5.7339449541284407E-4</v>
      </c>
      <c r="DU107" s="22">
        <f>BJ107/BI107</f>
        <v>10.433333333333334</v>
      </c>
      <c r="DV107" s="22">
        <f>BK107/BM107</f>
        <v>15.555555555555555</v>
      </c>
      <c r="DW107" s="22">
        <f>1.74+LOG(BK107/BI107)-1.92*LOG(BJ107/BI107)</f>
        <v>-0.54636553806885346</v>
      </c>
      <c r="DX107" s="22">
        <f>BK107*100/BJ107</f>
        <v>4.4728434504792336</v>
      </c>
      <c r="DY107" s="22">
        <f>CC107*100/BJ107</f>
        <v>12.172523961661343</v>
      </c>
      <c r="DZ107" s="19">
        <f>EK107*100/AY107</f>
        <v>0.9528920510788067</v>
      </c>
      <c r="EA107" s="23">
        <f>BA107/BN107</f>
        <v>0.45858343337334939</v>
      </c>
      <c r="EB107" s="19">
        <f>CC107/BK107</f>
        <v>2.7214285714285715</v>
      </c>
      <c r="EC107" s="19">
        <f>(CB107/0.144)/(CH107*CI107)^(1/2)</f>
        <v>0.73001326168287961</v>
      </c>
      <c r="ED107" s="19"/>
      <c r="EE107" s="19">
        <f t="shared" ref="EE107:EN108" si="191">100*G107/($G107+$H107+$I107+$J107+$K107+$L107+$M107+$N107+$O107+$P107)</f>
        <v>42.527904092600259</v>
      </c>
      <c r="EF107" s="19">
        <f t="shared" si="191"/>
        <v>0.75341050020669709</v>
      </c>
      <c r="EG107" s="19">
        <f t="shared" si="191"/>
        <v>10.283174865646963</v>
      </c>
      <c r="EH107" s="19">
        <f t="shared" si="191"/>
        <v>7.3997519636213331</v>
      </c>
      <c r="EI107" s="19">
        <f t="shared" si="191"/>
        <v>0.12505167424555605</v>
      </c>
      <c r="EJ107" s="19">
        <f t="shared" si="191"/>
        <v>12.980570483670942</v>
      </c>
      <c r="EK107" s="19">
        <f t="shared" si="191"/>
        <v>16.618437370814387</v>
      </c>
      <c r="EL107" s="19">
        <f t="shared" si="191"/>
        <v>1.1058288548987187</v>
      </c>
      <c r="EM107" s="19">
        <f t="shared" si="191"/>
        <v>7.802811078958249</v>
      </c>
      <c r="EN107" s="19">
        <f t="shared" si="191"/>
        <v>0.40305911533691618</v>
      </c>
      <c r="EO107" s="19">
        <f>SUM(EE107:EN107)</f>
        <v>100.00000000000001</v>
      </c>
    </row>
    <row r="108" spans="1:145">
      <c r="A108" s="36" t="s">
        <v>163</v>
      </c>
      <c r="B108" s="36">
        <v>5</v>
      </c>
      <c r="C108" s="36" t="s">
        <v>163</v>
      </c>
      <c r="D108" s="1" t="s">
        <v>188</v>
      </c>
      <c r="E108" s="88" t="s">
        <v>161</v>
      </c>
      <c r="F108" s="96"/>
      <c r="G108" s="79">
        <v>41.95</v>
      </c>
      <c r="H108" s="79">
        <v>0.746</v>
      </c>
      <c r="I108" s="79">
        <v>10.01</v>
      </c>
      <c r="J108" s="79">
        <v>7.36</v>
      </c>
      <c r="K108" s="79">
        <v>0.123</v>
      </c>
      <c r="L108" s="79">
        <v>12.79</v>
      </c>
      <c r="M108" s="79">
        <v>15.35</v>
      </c>
      <c r="N108" s="79">
        <v>0.96</v>
      </c>
      <c r="O108" s="79">
        <v>7.26</v>
      </c>
      <c r="P108" s="79">
        <v>0.4</v>
      </c>
      <c r="Q108" s="79">
        <v>1.1399999999999999</v>
      </c>
      <c r="R108" s="79">
        <v>0.17</v>
      </c>
      <c r="S108" s="79">
        <f>SUM(G108:R108)</f>
        <v>98.259</v>
      </c>
      <c r="T108" s="80"/>
      <c r="U108" s="81"/>
      <c r="V108" s="80"/>
      <c r="W108" s="79"/>
      <c r="X108" s="79"/>
      <c r="Y108" s="79"/>
      <c r="Z108" s="79"/>
      <c r="AA108" s="79"/>
      <c r="AB108" s="79"/>
      <c r="AC108" s="79"/>
      <c r="AD108" s="79"/>
      <c r="AE108" s="19"/>
      <c r="AF108" s="19">
        <f>(L108/40.31)/((L108/40.31)+(J108-(J108*0.1189))*0.8998/71.85)</f>
        <v>0.79620654622606368</v>
      </c>
      <c r="AG108" s="20">
        <f>H108*5995</f>
        <v>4472.2699999999995</v>
      </c>
      <c r="AH108" s="20">
        <f>O108*8302</f>
        <v>60272.52</v>
      </c>
      <c r="AI108" s="20">
        <f>P108*4364</f>
        <v>1745.6000000000001</v>
      </c>
      <c r="AJ108" s="19">
        <f>N108+O108</f>
        <v>8.2199999999999989</v>
      </c>
      <c r="AK108" s="19">
        <f>O108/N108</f>
        <v>7.5625</v>
      </c>
      <c r="AL108" s="19">
        <f>N108/O108</f>
        <v>0.13223140495867769</v>
      </c>
      <c r="AM108" s="19">
        <f>EK108/EG108</f>
        <v>1.5334665334665334</v>
      </c>
      <c r="AN108" s="19">
        <f>O108/I108</f>
        <v>0.72527472527472525</v>
      </c>
      <c r="AO108" s="19">
        <f>(EL108/61.98+EM108/94.2)/(EG108/101.96)</f>
        <v>0.94278807312516566</v>
      </c>
      <c r="AP108" s="19">
        <f>1/AO108</f>
        <v>1.0606837618184832</v>
      </c>
      <c r="AQ108" s="19">
        <f>(EG108/101.96)/((EK108/56.08)+(EL108/61.98)+(EM108/94.2))</f>
        <v>0.26803833610008232</v>
      </c>
      <c r="AR108" s="20">
        <f>1000*(4*(EE108/60.08)-11*(EL108/61.98+EM108/94.2)-2*(EH108/159.69+EF108/79.87))</f>
        <v>1716.2998582991597</v>
      </c>
      <c r="AS108" s="20">
        <f>1000*(6*(EK108/56.08)+2*(EJ108/40.3)+EG108/101.96)</f>
        <v>2449.960214406859</v>
      </c>
      <c r="AT108" s="20"/>
      <c r="AU108" s="19">
        <f>O108/G108</f>
        <v>0.17306317044100117</v>
      </c>
      <c r="AV108" s="19">
        <f>(O108/94.2)/(I108/101.96)</f>
        <v>0.78502134807867285</v>
      </c>
      <c r="AW108" s="80"/>
      <c r="AX108" s="85">
        <v>485</v>
      </c>
      <c r="AY108" s="85">
        <v>1768</v>
      </c>
      <c r="AZ108" s="85">
        <v>689</v>
      </c>
      <c r="BA108" s="89">
        <v>34.9</v>
      </c>
      <c r="BB108" s="85">
        <v>23</v>
      </c>
      <c r="BC108" s="85">
        <v>156</v>
      </c>
      <c r="BD108" s="85">
        <v>780</v>
      </c>
      <c r="BE108" s="85">
        <v>36</v>
      </c>
      <c r="BF108" s="85">
        <v>120</v>
      </c>
      <c r="BG108" s="85">
        <v>30</v>
      </c>
      <c r="BH108" s="85">
        <v>80</v>
      </c>
      <c r="BI108" s="80">
        <v>30</v>
      </c>
      <c r="BJ108" s="85">
        <v>353</v>
      </c>
      <c r="BK108" s="85">
        <v>15</v>
      </c>
      <c r="BL108" s="89">
        <v>8.8000000000000007</v>
      </c>
      <c r="BM108" s="89">
        <v>0.7</v>
      </c>
      <c r="BN108" s="85">
        <v>84.9</v>
      </c>
      <c r="BO108" s="85">
        <v>190</v>
      </c>
      <c r="BP108" s="85">
        <v>23.7</v>
      </c>
      <c r="BQ108" s="85">
        <v>93</v>
      </c>
      <c r="BR108" s="89">
        <v>17.899999999999999</v>
      </c>
      <c r="BS108" s="89">
        <v>3.46</v>
      </c>
      <c r="BT108" s="89">
        <v>12.2</v>
      </c>
      <c r="BU108" s="89">
        <v>1.6</v>
      </c>
      <c r="BV108" s="89">
        <v>7.7</v>
      </c>
      <c r="BW108" s="79">
        <v>1.3</v>
      </c>
      <c r="BX108" s="79">
        <v>3</v>
      </c>
      <c r="BY108" s="79">
        <v>0.39</v>
      </c>
      <c r="BZ108" s="89">
        <v>2.2999999999999998</v>
      </c>
      <c r="CA108" s="79">
        <v>0.33</v>
      </c>
      <c r="CB108" s="85">
        <v>30</v>
      </c>
      <c r="CC108" s="85">
        <v>38.6</v>
      </c>
      <c r="CD108" s="89">
        <v>9.8000000000000007</v>
      </c>
      <c r="CE108" s="89">
        <v>13</v>
      </c>
      <c r="CF108" s="85"/>
      <c r="CG108" s="22">
        <f>BN108/0.242</f>
        <v>350.82644628099177</v>
      </c>
      <c r="CH108" s="22">
        <f>BO108/0.635</f>
        <v>299.21259842519686</v>
      </c>
      <c r="CI108" s="22">
        <f>BP108/0.0963</f>
        <v>246.10591900311528</v>
      </c>
      <c r="CJ108" s="22">
        <f>BQ108/0.48</f>
        <v>193.75</v>
      </c>
      <c r="CK108" s="22">
        <f>BR108/0.156</f>
        <v>114.74358974358974</v>
      </c>
      <c r="CL108" s="22">
        <f>BS108/0.0591</f>
        <v>58.544839255499156</v>
      </c>
      <c r="CM108" s="22">
        <f>BT108/0.212</f>
        <v>57.547169811320749</v>
      </c>
      <c r="CN108" s="22">
        <f>BU108/0.0376</f>
        <v>42.553191489361701</v>
      </c>
      <c r="CO108" s="22">
        <f>BV108/0.259</f>
        <v>29.72972972972973</v>
      </c>
      <c r="CP108" s="22">
        <f>BW108/0.0585</f>
        <v>22.222222222222221</v>
      </c>
      <c r="CQ108" s="22">
        <f>BX108/0.163</f>
        <v>18.404907975460123</v>
      </c>
      <c r="CR108" s="22">
        <f>BY108/0.0256</f>
        <v>15.234375</v>
      </c>
      <c r="CS108" s="22">
        <f>BZ108/0.166</f>
        <v>13.855421686746986</v>
      </c>
      <c r="CT108" s="22">
        <f>CA108/0.024</f>
        <v>13.75</v>
      </c>
      <c r="CU108" s="22">
        <f>AZ108/BK108</f>
        <v>45.93333333333333</v>
      </c>
      <c r="CV108" s="22">
        <f>AZ108/BN108</f>
        <v>8.1154299175500579</v>
      </c>
      <c r="CW108" s="22">
        <f>BN108/BK108</f>
        <v>5.66</v>
      </c>
      <c r="CX108" s="20">
        <f>AG108/BK108</f>
        <v>298.1513333333333</v>
      </c>
      <c r="CY108" s="22">
        <f>BO108/CB108</f>
        <v>6.333333333333333</v>
      </c>
      <c r="CZ108" s="22">
        <f>BK108/CD108</f>
        <v>1.5306122448979591</v>
      </c>
      <c r="DA108" s="22">
        <f>AX108/BR108</f>
        <v>27.094972067039109</v>
      </c>
      <c r="DB108" s="22">
        <f>BJ108/BK108</f>
        <v>23.533333333333335</v>
      </c>
      <c r="DC108" s="22">
        <f>AZ108/CC108</f>
        <v>17.849740932642487</v>
      </c>
      <c r="DD108" s="22">
        <f>CC108/BM108</f>
        <v>55.142857142857146</v>
      </c>
      <c r="DE108" s="22">
        <f>BM108/BZ108</f>
        <v>0.30434782608695654</v>
      </c>
      <c r="DF108" s="22">
        <f>CC108/BZ108</f>
        <v>16.782608695652176</v>
      </c>
      <c r="DG108" s="19">
        <f>BK108/BI108</f>
        <v>0.5</v>
      </c>
      <c r="DH108" s="20">
        <f>AH108/BN108</f>
        <v>709.92367491166067</v>
      </c>
      <c r="DI108" s="19">
        <f>(BK108/0.46)/((O108/0.023)*(CD108/0.017))^0.5</f>
        <v>7.644348145997916E-2</v>
      </c>
      <c r="DJ108" s="22">
        <f>BN108/CA108</f>
        <v>257.27272727272725</v>
      </c>
      <c r="DK108" s="22">
        <f>CG108/CT108</f>
        <v>25.514650638617585</v>
      </c>
      <c r="DL108" s="22">
        <f>CG108/CK108</f>
        <v>3.0574818782030571</v>
      </c>
      <c r="DM108" s="22">
        <f>BN108/BZ108</f>
        <v>36.913043478260875</v>
      </c>
      <c r="DN108" s="76">
        <f>BL108/BQ108</f>
        <v>9.4623655913978505E-2</v>
      </c>
      <c r="DO108" s="22">
        <f>BR108/BZ108</f>
        <v>7.7826086956521738</v>
      </c>
      <c r="DP108" s="20">
        <f>AY108/BZ108</f>
        <v>768.69565217391312</v>
      </c>
      <c r="DQ108" s="22">
        <f>AY108/BQ108</f>
        <v>19.010752688172044</v>
      </c>
      <c r="DR108" s="22">
        <f>AY108/(((BR108/0.195)*(BT108/0.259))^0.5)</f>
        <v>26.8870415037477</v>
      </c>
      <c r="DS108" s="19">
        <f>(BS108/0.074)/(((BR108/0.195)*(BT108/0.259))^0.5)</f>
        <v>0.71105817844997432</v>
      </c>
      <c r="DT108" s="23">
        <f>1/AY108</f>
        <v>5.6561085972850684E-4</v>
      </c>
      <c r="DU108" s="22">
        <f>BJ108/BI108</f>
        <v>11.766666666666667</v>
      </c>
      <c r="DV108" s="22">
        <f>BK108/BM108</f>
        <v>21.428571428571431</v>
      </c>
      <c r="DW108" s="22">
        <f>1.74+LOG(BK108/BI108)-1.92*LOG(BJ108/BI108)</f>
        <v>-0.61668462094684862</v>
      </c>
      <c r="DX108" s="22">
        <f>BK108*100/BJ108</f>
        <v>4.2492917847025495</v>
      </c>
      <c r="DY108" s="22">
        <f>CC108*100/BJ108</f>
        <v>10.934844192634561</v>
      </c>
      <c r="DZ108" s="19">
        <f>EK108*100/AY108</f>
        <v>0.89553545645984789</v>
      </c>
      <c r="EA108" s="23">
        <f>BA108/BN108</f>
        <v>0.41107184923439338</v>
      </c>
      <c r="EB108" s="19">
        <f>CC108/BK108</f>
        <v>2.5733333333333333</v>
      </c>
      <c r="EC108" s="19">
        <f>(CB108/0.144)/(CH108*CI108)^(1/2)</f>
        <v>0.76772873396114927</v>
      </c>
      <c r="ED108" s="19"/>
      <c r="EE108" s="19">
        <f t="shared" si="191"/>
        <v>43.270172977544895</v>
      </c>
      <c r="EF108" s="19">
        <f t="shared" si="191"/>
        <v>0.76947673519066717</v>
      </c>
      <c r="EG108" s="19">
        <f t="shared" si="191"/>
        <v>10.325016245654933</v>
      </c>
      <c r="EH108" s="19">
        <f t="shared" si="191"/>
        <v>7.5916203364655646</v>
      </c>
      <c r="EI108" s="19">
        <f t="shared" si="191"/>
        <v>0.12687082899256311</v>
      </c>
      <c r="EJ108" s="19">
        <f t="shared" si="191"/>
        <v>13.19250327491774</v>
      </c>
      <c r="EK108" s="19">
        <f t="shared" si="191"/>
        <v>15.833066870210111</v>
      </c>
      <c r="EL108" s="19">
        <f t="shared" si="191"/>
        <v>0.99021134823463886</v>
      </c>
      <c r="EM108" s="19">
        <f t="shared" si="191"/>
        <v>7.4884733210244567</v>
      </c>
      <c r="EN108" s="19">
        <f t="shared" si="191"/>
        <v>0.41258806176443286</v>
      </c>
      <c r="EO108" s="19">
        <f>SUM(EE108:EN108)</f>
        <v>100.00000000000001</v>
      </c>
    </row>
    <row r="109" spans="1:145" s="36" customFormat="1">
      <c r="A109" s="36" t="s">
        <v>163</v>
      </c>
      <c r="B109" s="36">
        <v>5</v>
      </c>
      <c r="C109" s="36" t="s">
        <v>169</v>
      </c>
      <c r="D109" s="36" t="s">
        <v>187</v>
      </c>
      <c r="E109" s="36" t="s">
        <v>177</v>
      </c>
      <c r="F109" s="74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U109" s="75">
        <v>0.71059000000000005</v>
      </c>
      <c r="V109" s="75">
        <v>0.51202700000000001</v>
      </c>
      <c r="W109" s="19"/>
      <c r="X109" s="19"/>
      <c r="Y109" s="19"/>
      <c r="Z109" s="19"/>
      <c r="AA109" s="19"/>
      <c r="AB109" s="19"/>
      <c r="AC109" s="19"/>
      <c r="AD109" s="19"/>
      <c r="AF109" s="19"/>
      <c r="AG109" s="20"/>
      <c r="AH109" s="20"/>
      <c r="AI109" s="20"/>
      <c r="AJ109" s="19"/>
      <c r="AK109" s="19"/>
      <c r="AL109" s="19"/>
      <c r="AM109" s="19"/>
      <c r="AN109" s="19"/>
      <c r="AO109" s="19"/>
      <c r="AP109" s="19"/>
      <c r="AQ109" s="19"/>
      <c r="AR109" s="20"/>
      <c r="AS109" s="20"/>
      <c r="AT109" s="20"/>
      <c r="AU109" s="19"/>
      <c r="AV109" s="19"/>
      <c r="AW109" s="19"/>
      <c r="AX109" s="20"/>
      <c r="AY109" s="20"/>
      <c r="AZ109" s="20"/>
      <c r="BA109" s="22"/>
      <c r="BB109" s="22"/>
      <c r="BC109" s="22"/>
      <c r="BD109" s="22"/>
      <c r="BE109" s="22"/>
      <c r="BF109" s="22"/>
      <c r="BG109" s="22"/>
      <c r="BH109" s="22"/>
      <c r="BJ109" s="20"/>
      <c r="BK109" s="20"/>
      <c r="BL109" s="22"/>
      <c r="BM109" s="22"/>
      <c r="BN109" s="20"/>
      <c r="BO109" s="20"/>
      <c r="BP109" s="20"/>
      <c r="BQ109" s="22"/>
      <c r="BR109" s="22"/>
      <c r="BS109" s="22"/>
      <c r="BT109" s="22"/>
      <c r="BU109" s="22"/>
      <c r="BV109" s="22"/>
      <c r="BW109" s="19"/>
      <c r="BX109" s="19"/>
      <c r="BY109" s="19"/>
      <c r="BZ109" s="22"/>
      <c r="CA109" s="19"/>
      <c r="CB109" s="20"/>
      <c r="CC109" s="20"/>
      <c r="CD109" s="22"/>
      <c r="CE109" s="22"/>
      <c r="CG109" s="22"/>
      <c r="CH109" s="22"/>
      <c r="CI109" s="22"/>
      <c r="CJ109" s="22"/>
      <c r="CK109" s="22"/>
      <c r="CL109" s="22"/>
      <c r="CM109" s="22"/>
      <c r="CN109" s="22"/>
      <c r="CO109" s="22"/>
      <c r="CP109" s="22"/>
      <c r="CQ109" s="22"/>
      <c r="CR109" s="22"/>
      <c r="CS109" s="22"/>
      <c r="CT109" s="22"/>
      <c r="CU109" s="22"/>
      <c r="CV109" s="22"/>
      <c r="CW109" s="22"/>
      <c r="CX109" s="20"/>
      <c r="CY109" s="22"/>
      <c r="CZ109" s="22"/>
      <c r="DA109" s="22"/>
      <c r="DB109" s="22"/>
      <c r="DC109" s="22"/>
      <c r="DD109" s="22"/>
      <c r="DE109" s="22"/>
      <c r="DF109" s="22"/>
      <c r="DG109" s="19"/>
      <c r="DH109" s="20"/>
      <c r="DI109" s="19"/>
      <c r="DJ109" s="22"/>
      <c r="DK109" s="22"/>
      <c r="DL109" s="22"/>
      <c r="DM109" s="22"/>
      <c r="DN109" s="76"/>
      <c r="DO109" s="22"/>
      <c r="DP109" s="20"/>
      <c r="DQ109" s="22"/>
      <c r="DR109" s="22"/>
      <c r="DS109" s="19"/>
      <c r="DT109" s="23"/>
      <c r="DU109" s="22"/>
      <c r="DV109" s="22"/>
      <c r="DW109" s="22"/>
      <c r="DX109" s="22"/>
      <c r="DY109" s="22"/>
      <c r="DZ109" s="19"/>
      <c r="EA109" s="23"/>
      <c r="EB109" s="19"/>
      <c r="EC109" s="19"/>
      <c r="ED109" s="19"/>
      <c r="EE109" s="19"/>
      <c r="EF109" s="19"/>
      <c r="EG109" s="19"/>
      <c r="EH109" s="19"/>
      <c r="EI109" s="19"/>
      <c r="EJ109" s="19"/>
      <c r="EK109" s="19"/>
      <c r="EL109" s="19"/>
      <c r="EM109" s="19"/>
      <c r="EN109" s="19"/>
      <c r="EO109" s="19"/>
    </row>
    <row r="110" spans="1:145" s="36" customFormat="1">
      <c r="A110" s="36" t="s">
        <v>163</v>
      </c>
      <c r="B110" s="36">
        <v>5</v>
      </c>
      <c r="C110" s="36" t="s">
        <v>169</v>
      </c>
      <c r="D110" s="36" t="s">
        <v>186</v>
      </c>
      <c r="E110" s="36" t="s">
        <v>183</v>
      </c>
      <c r="F110" s="74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U110" s="75">
        <v>0.71046799999999999</v>
      </c>
      <c r="V110" s="75">
        <v>0.51208399999999998</v>
      </c>
      <c r="W110" s="19"/>
      <c r="X110" s="19"/>
      <c r="Y110" s="19"/>
      <c r="Z110" s="19"/>
      <c r="AA110" s="19"/>
      <c r="AB110" s="19"/>
      <c r="AC110" s="19"/>
      <c r="AD110" s="19"/>
      <c r="AF110" s="19"/>
      <c r="AG110" s="20"/>
      <c r="AH110" s="20"/>
      <c r="AI110" s="20"/>
      <c r="AJ110" s="19"/>
      <c r="AK110" s="19"/>
      <c r="AL110" s="19"/>
      <c r="AM110" s="19"/>
      <c r="AN110" s="19"/>
      <c r="AO110" s="19" t="e">
        <f t="shared" ref="AO110:AO115" si="192">(EL110/61.98+EM110/94.2)/(EG110/101.96)</f>
        <v>#DIV/0!</v>
      </c>
      <c r="AP110" s="19" t="e">
        <f t="shared" ref="AP110:AP115" si="193">1/AO110</f>
        <v>#DIV/0!</v>
      </c>
      <c r="AQ110" s="19" t="e">
        <f t="shared" ref="AQ110:AQ115" si="194">(EG110/101.96)/((EK110/56.08)+(EL110/61.98)+(EM110/94.2))</f>
        <v>#DIV/0!</v>
      </c>
      <c r="AR110" s="20"/>
      <c r="AS110" s="20"/>
      <c r="AT110" s="20"/>
      <c r="AU110" s="19"/>
      <c r="AV110" s="19" t="e">
        <f t="shared" ref="AV110:AV115" si="195">(O110/94.2)/(I110/101.96)</f>
        <v>#DIV/0!</v>
      </c>
      <c r="AW110" s="19"/>
      <c r="AX110" s="20"/>
      <c r="AY110" s="20"/>
      <c r="AZ110" s="20"/>
      <c r="BA110" s="22"/>
      <c r="BB110" s="22"/>
      <c r="BC110" s="22"/>
      <c r="BD110" s="22"/>
      <c r="BE110" s="22"/>
      <c r="BF110" s="22"/>
      <c r="BG110" s="22"/>
      <c r="BH110" s="22"/>
      <c r="BJ110" s="20"/>
      <c r="BK110" s="20"/>
      <c r="BL110" s="22"/>
      <c r="BM110" s="22"/>
      <c r="BN110" s="20"/>
      <c r="BO110" s="20"/>
      <c r="BP110" s="20"/>
      <c r="BQ110" s="22"/>
      <c r="BR110" s="22"/>
      <c r="BS110" s="22"/>
      <c r="BT110" s="22"/>
      <c r="BU110" s="22"/>
      <c r="BV110" s="22"/>
      <c r="BW110" s="19"/>
      <c r="BX110" s="19"/>
      <c r="BY110" s="19"/>
      <c r="BZ110" s="22"/>
      <c r="CA110" s="19"/>
      <c r="CB110" s="20"/>
      <c r="CC110" s="20"/>
      <c r="CD110" s="22"/>
      <c r="CE110" s="22"/>
      <c r="CG110" s="22">
        <f t="shared" ref="CG110:CG115" si="196">BN110/0.242</f>
        <v>0</v>
      </c>
      <c r="CH110" s="22">
        <f t="shared" ref="CH110:CH115" si="197">BO110/0.635</f>
        <v>0</v>
      </c>
      <c r="CI110" s="22">
        <f>BP110/0.0963</f>
        <v>0</v>
      </c>
      <c r="CJ110" s="22">
        <f t="shared" ref="CJ110:CJ115" si="198">BQ110/0.48</f>
        <v>0</v>
      </c>
      <c r="CK110" s="22">
        <f t="shared" ref="CK110:CK115" si="199">BR110/0.156</f>
        <v>0</v>
      </c>
      <c r="CL110" s="22">
        <f t="shared" ref="CL110:CL115" si="200">BS110/0.0591</f>
        <v>0</v>
      </c>
      <c r="CM110" s="22">
        <f>BT110/0.212</f>
        <v>0</v>
      </c>
      <c r="CN110" s="22">
        <f t="shared" ref="CN110:CN115" si="201">BU110/0.0376</f>
        <v>0</v>
      </c>
      <c r="CO110" s="22">
        <f>BV110/0.259</f>
        <v>0</v>
      </c>
      <c r="CP110" s="22">
        <f>BW110/0.0585</f>
        <v>0</v>
      </c>
      <c r="CQ110" s="22">
        <f>BX110/0.163</f>
        <v>0</v>
      </c>
      <c r="CR110" s="22">
        <f>BY110/0.0256</f>
        <v>0</v>
      </c>
      <c r="CS110" s="22">
        <f t="shared" ref="CS110:CS115" si="202">BZ110/0.166</f>
        <v>0</v>
      </c>
      <c r="CT110" s="22">
        <f t="shared" ref="CT110:CT115" si="203">CA110/0.024</f>
        <v>0</v>
      </c>
      <c r="CU110" s="22"/>
      <c r="CV110" s="22"/>
      <c r="CW110" s="22"/>
      <c r="CX110" s="20"/>
      <c r="CY110" s="22"/>
      <c r="CZ110" s="22"/>
      <c r="DA110" s="22"/>
      <c r="DB110" s="22"/>
      <c r="DC110" s="22" t="e">
        <f t="shared" ref="DC110:DC115" si="204">AZ110/CC110</f>
        <v>#DIV/0!</v>
      </c>
      <c r="DD110" s="22"/>
      <c r="DE110" s="22"/>
      <c r="DF110" s="22"/>
      <c r="DG110" s="19"/>
      <c r="DH110" s="20"/>
      <c r="DI110" s="19"/>
      <c r="DJ110" s="22"/>
      <c r="DK110" s="22"/>
      <c r="DL110" s="22" t="e">
        <f t="shared" ref="DL110:DL115" si="205">CG110/CK110</f>
        <v>#DIV/0!</v>
      </c>
      <c r="DM110" s="22"/>
      <c r="DN110" s="76"/>
      <c r="DO110" s="22" t="e">
        <f t="shared" ref="DO110:DO115" si="206">BR110/BZ110</f>
        <v>#DIV/0!</v>
      </c>
      <c r="DP110" s="20"/>
      <c r="DQ110" s="22"/>
      <c r="DR110" s="22"/>
      <c r="DS110" s="19"/>
      <c r="DT110" s="23"/>
      <c r="DU110" s="22"/>
      <c r="DV110" s="22"/>
      <c r="DW110" s="22"/>
      <c r="DX110" s="22"/>
      <c r="DY110" s="22"/>
      <c r="DZ110" s="19"/>
      <c r="EA110" s="23"/>
      <c r="EB110" s="19" t="e">
        <f t="shared" ref="EB110:EB115" si="207">CC110/BK110</f>
        <v>#DIV/0!</v>
      </c>
      <c r="EC110" s="19"/>
      <c r="ED110" s="19"/>
      <c r="EE110" s="19"/>
      <c r="EF110" s="19"/>
      <c r="EG110" s="19"/>
      <c r="EH110" s="19"/>
      <c r="EI110" s="19"/>
      <c r="EJ110" s="19"/>
      <c r="EK110" s="19"/>
      <c r="EL110" s="19"/>
      <c r="EM110" s="19"/>
      <c r="EN110" s="19"/>
      <c r="EO110" s="19"/>
    </row>
    <row r="111" spans="1:145" s="36" customFormat="1">
      <c r="A111" s="36" t="s">
        <v>163</v>
      </c>
      <c r="B111" s="36">
        <v>5</v>
      </c>
      <c r="C111" s="36" t="s">
        <v>169</v>
      </c>
      <c r="D111" s="36" t="s">
        <v>185</v>
      </c>
      <c r="E111" s="36" t="s">
        <v>177</v>
      </c>
      <c r="F111" s="74"/>
      <c r="G111" s="19">
        <v>36.299999999999997</v>
      </c>
      <c r="H111" s="19">
        <v>2.52</v>
      </c>
      <c r="I111" s="19">
        <v>8.7200000000000006</v>
      </c>
      <c r="J111" s="19">
        <v>11.384900000000002</v>
      </c>
      <c r="K111" s="19">
        <v>0.12</v>
      </c>
      <c r="L111" s="19">
        <v>10.19</v>
      </c>
      <c r="M111" s="19">
        <v>17.600000000000001</v>
      </c>
      <c r="N111" s="19">
        <v>0.95</v>
      </c>
      <c r="O111" s="19">
        <v>5.0599999999999996</v>
      </c>
      <c r="P111" s="19">
        <v>1.44</v>
      </c>
      <c r="Q111" s="19"/>
      <c r="R111" s="19">
        <v>4.4400000000000004</v>
      </c>
      <c r="S111" s="19">
        <f>SUM(G111:R111)</f>
        <v>98.724900000000005</v>
      </c>
      <c r="U111" s="75">
        <v>0.71057099999999995</v>
      </c>
      <c r="V111" s="75">
        <v>0.51209099999999996</v>
      </c>
      <c r="W111" s="19"/>
      <c r="X111" s="19"/>
      <c r="Y111" s="19"/>
      <c r="Z111" s="19"/>
      <c r="AA111" s="19"/>
      <c r="AB111" s="19"/>
      <c r="AC111" s="19"/>
      <c r="AD111" s="19"/>
      <c r="AF111" s="19">
        <f>(L111/40.31)/((L111/40.31)+(J111-(J111*0.1189))*0.8998/71.85)</f>
        <v>0.66802521028341411</v>
      </c>
      <c r="AG111" s="20">
        <f>H111*5995</f>
        <v>15107.4</v>
      </c>
      <c r="AH111" s="20">
        <f>O111*8302</f>
        <v>42008.119999999995</v>
      </c>
      <c r="AI111" s="20">
        <f>P111*4364</f>
        <v>6284.16</v>
      </c>
      <c r="AJ111" s="19">
        <f>N111+O111</f>
        <v>6.01</v>
      </c>
      <c r="AK111" s="19">
        <f>O111/N111</f>
        <v>5.3263157894736839</v>
      </c>
      <c r="AL111" s="19">
        <f>N111/O111</f>
        <v>0.18774703557312253</v>
      </c>
      <c r="AM111" s="19">
        <f>EK111/EG111</f>
        <v>2.0183486238532109</v>
      </c>
      <c r="AN111" s="19">
        <f>O111/I111</f>
        <v>0.58027522935779807</v>
      </c>
      <c r="AO111" s="19">
        <f t="shared" si="192"/>
        <v>0.80729664238357002</v>
      </c>
      <c r="AP111" s="19">
        <f t="shared" si="193"/>
        <v>1.2387020427181104</v>
      </c>
      <c r="AQ111" s="19">
        <f t="shared" si="194"/>
        <v>0.22336932105547833</v>
      </c>
      <c r="AR111" s="20">
        <f>1000*(4*(EE111/60.08)-11*(EL111/61.98+EM111/94.2)-2*(EH111/159.69+EF111/79.87))</f>
        <v>1539.6042329983484</v>
      </c>
      <c r="AS111" s="20">
        <f>1000*(6*(EK111/56.08)+2*(EJ111/40.3)+EG111/101.96)</f>
        <v>2624.2327052344936</v>
      </c>
      <c r="AT111" s="20"/>
      <c r="AU111" s="19">
        <f>O111/G111</f>
        <v>0.1393939393939394</v>
      </c>
      <c r="AV111" s="19">
        <f t="shared" si="195"/>
        <v>0.62807709538557421</v>
      </c>
      <c r="AW111" s="19"/>
      <c r="AX111" s="20">
        <v>142</v>
      </c>
      <c r="AY111" s="20">
        <v>1860</v>
      </c>
      <c r="AZ111" s="20">
        <v>1940</v>
      </c>
      <c r="BA111" s="22"/>
      <c r="BB111" s="22"/>
      <c r="BC111" s="22">
        <v>521</v>
      </c>
      <c r="BD111" s="22">
        <v>23.9</v>
      </c>
      <c r="BE111" s="22">
        <v>32.200000000000003</v>
      </c>
      <c r="BF111" s="22">
        <v>23.4</v>
      </c>
      <c r="BG111" s="22"/>
      <c r="BH111" s="22"/>
      <c r="BI111" s="36">
        <v>111</v>
      </c>
      <c r="BJ111" s="20">
        <v>1307</v>
      </c>
      <c r="BK111" s="20">
        <v>56.8</v>
      </c>
      <c r="BL111" s="22"/>
      <c r="BM111" s="22"/>
      <c r="BN111" s="20">
        <v>256</v>
      </c>
      <c r="BO111" s="20">
        <v>559</v>
      </c>
      <c r="BP111" s="20">
        <v>70.099999999999994</v>
      </c>
      <c r="BQ111" s="22">
        <v>292</v>
      </c>
      <c r="BR111" s="22">
        <v>59.2</v>
      </c>
      <c r="BS111" s="22">
        <v>11</v>
      </c>
      <c r="BT111" s="22">
        <v>46.4</v>
      </c>
      <c r="BU111" s="22">
        <v>5.4</v>
      </c>
      <c r="BV111" s="22">
        <v>26.4</v>
      </c>
      <c r="BW111" s="19">
        <v>4.04</v>
      </c>
      <c r="BX111" s="19">
        <v>10.4</v>
      </c>
      <c r="BY111" s="19">
        <v>1.2</v>
      </c>
      <c r="BZ111" s="22">
        <v>7.3</v>
      </c>
      <c r="CA111" s="19">
        <v>1</v>
      </c>
      <c r="CB111" s="20"/>
      <c r="CC111" s="20">
        <v>116</v>
      </c>
      <c r="CD111" s="22">
        <v>23.9</v>
      </c>
      <c r="CE111" s="22"/>
      <c r="CG111" s="22">
        <f t="shared" si="196"/>
        <v>1057.8512396694216</v>
      </c>
      <c r="CH111" s="22">
        <f t="shared" si="197"/>
        <v>880.3149606299213</v>
      </c>
      <c r="CI111" s="22">
        <f>BP111/0.0963</f>
        <v>727.93354101765317</v>
      </c>
      <c r="CJ111" s="22">
        <f t="shared" si="198"/>
        <v>608.33333333333337</v>
      </c>
      <c r="CK111" s="22">
        <f t="shared" si="199"/>
        <v>379.4871794871795</v>
      </c>
      <c r="CL111" s="22">
        <f t="shared" si="200"/>
        <v>186.12521150592218</v>
      </c>
      <c r="CM111" s="22">
        <f>BT111/0.212</f>
        <v>218.8679245283019</v>
      </c>
      <c r="CN111" s="22">
        <f t="shared" si="201"/>
        <v>143.61702127659575</v>
      </c>
      <c r="CO111" s="22"/>
      <c r="CP111" s="22">
        <f>BW111/0.0585</f>
        <v>69.059829059829056</v>
      </c>
      <c r="CQ111" s="22">
        <f>BX111/0.163</f>
        <v>63.803680981595093</v>
      </c>
      <c r="CR111" s="22">
        <f>BY111/0.0256</f>
        <v>46.874999999999993</v>
      </c>
      <c r="CS111" s="22">
        <f t="shared" si="202"/>
        <v>43.975903614457827</v>
      </c>
      <c r="CT111" s="22">
        <f t="shared" si="203"/>
        <v>41.666666666666664</v>
      </c>
      <c r="CU111" s="22">
        <f>AZ111/BK111</f>
        <v>34.154929577464792</v>
      </c>
      <c r="CV111" s="22">
        <f>AZ111/BN111</f>
        <v>7.578125</v>
      </c>
      <c r="CW111" s="22">
        <f>BN111/BK111</f>
        <v>4.507042253521127</v>
      </c>
      <c r="CX111" s="20">
        <f>AG111/BK111</f>
        <v>265.97535211267609</v>
      </c>
      <c r="CY111" s="22"/>
      <c r="CZ111" s="22">
        <f>BK111/CD111</f>
        <v>2.3765690376569037</v>
      </c>
      <c r="DA111" s="22">
        <f>AX111/BR111</f>
        <v>2.3986486486486487</v>
      </c>
      <c r="DB111" s="22">
        <f>BJ111/BK111</f>
        <v>23.010563380281692</v>
      </c>
      <c r="DC111" s="22">
        <f t="shared" si="204"/>
        <v>16.724137931034484</v>
      </c>
      <c r="DD111" s="22"/>
      <c r="DE111" s="22"/>
      <c r="DF111" s="22">
        <f>CC111/BZ111</f>
        <v>15.890410958904109</v>
      </c>
      <c r="DG111" s="19">
        <f>BK111/BI111</f>
        <v>0.5117117117117117</v>
      </c>
      <c r="DH111" s="20">
        <f>AH111/BN111</f>
        <v>164.09421874999998</v>
      </c>
      <c r="DI111" s="19">
        <f>(BK111/0.46)/((O111/0.023)*(CD111/0.017))^0.5</f>
        <v>0.22202642894768426</v>
      </c>
      <c r="DJ111" s="22">
        <f>BN111/CA111</f>
        <v>256</v>
      </c>
      <c r="DK111" s="22">
        <f>CG111/CT111</f>
        <v>25.38842975206612</v>
      </c>
      <c r="DL111" s="22">
        <f t="shared" si="205"/>
        <v>2.7875809693991513</v>
      </c>
      <c r="DM111" s="22">
        <f>BN111/BZ111</f>
        <v>35.06849315068493</v>
      </c>
      <c r="DN111" s="76"/>
      <c r="DO111" s="22">
        <f t="shared" si="206"/>
        <v>8.1095890410958908</v>
      </c>
      <c r="DP111" s="20">
        <f>AY111/BZ111</f>
        <v>254.79452054794521</v>
      </c>
      <c r="DQ111" s="22">
        <f>AY111/BQ111</f>
        <v>6.3698630136986303</v>
      </c>
      <c r="DR111" s="22">
        <f>AY111/(((BR111/0.195)*(BT111/0.259))^0.5)</f>
        <v>7.9755435038017621</v>
      </c>
      <c r="DS111" s="19">
        <f>(BS111/0.074)/(((BR111/0.195)*(BT111/0.259))^0.5)</f>
        <v>0.63739449681647331</v>
      </c>
      <c r="DT111" s="23">
        <f>1/AY111</f>
        <v>5.3763440860215054E-4</v>
      </c>
      <c r="DU111" s="22">
        <f>BJ111/BI111</f>
        <v>11.774774774774775</v>
      </c>
      <c r="DV111" s="22"/>
      <c r="DW111" s="22">
        <f>1.74+LOG(BK111/BI111)-1.92*LOG(BJ111/BI111)</f>
        <v>-0.60720365195990089</v>
      </c>
      <c r="DX111" s="22">
        <f>BK111*100/BJ111</f>
        <v>4.345830145371079</v>
      </c>
      <c r="DY111" s="22">
        <f>CC111*100/BJ111</f>
        <v>8.8752869166029082</v>
      </c>
      <c r="DZ111" s="19">
        <f>EK111*100/AY111</f>
        <v>1.0035928967838805</v>
      </c>
      <c r="EA111" s="23"/>
      <c r="EB111" s="19">
        <f t="shared" si="207"/>
        <v>2.0422535211267605</v>
      </c>
      <c r="EC111" s="19"/>
      <c r="ED111" s="19"/>
      <c r="EE111" s="19">
        <f t="shared" ref="EE111:EN111" si="208">100*G111/($G111+$H111+$I111+$J111+$K111+$L111+$M111+$N111+$O111+$P111)</f>
        <v>38.500332502871608</v>
      </c>
      <c r="EF111" s="19">
        <f t="shared" si="208"/>
        <v>2.6727503555712526</v>
      </c>
      <c r="EG111" s="19">
        <f t="shared" si="208"/>
        <v>9.2485647224529064</v>
      </c>
      <c r="EH111" s="19">
        <f t="shared" si="208"/>
        <v>12.074998223469507</v>
      </c>
      <c r="EI111" s="19">
        <f t="shared" si="208"/>
        <v>0.12727382645577393</v>
      </c>
      <c r="EJ111" s="19">
        <f t="shared" si="208"/>
        <v>10.807669096536136</v>
      </c>
      <c r="EK111" s="19">
        <f t="shared" si="208"/>
        <v>18.666827880180179</v>
      </c>
      <c r="EL111" s="19">
        <f t="shared" si="208"/>
        <v>1.0075844594415435</v>
      </c>
      <c r="EM111" s="19">
        <f t="shared" si="208"/>
        <v>5.3667130155517997</v>
      </c>
      <c r="EN111" s="19">
        <f t="shared" si="208"/>
        <v>1.5272859174692872</v>
      </c>
      <c r="EO111" s="19">
        <f>SUM(EE111:EN111)</f>
        <v>99.999999999999986</v>
      </c>
    </row>
    <row r="112" spans="1:145" s="36" customFormat="1">
      <c r="A112" s="36" t="s">
        <v>163</v>
      </c>
      <c r="B112" s="36">
        <v>5</v>
      </c>
      <c r="C112" s="36" t="s">
        <v>169</v>
      </c>
      <c r="D112" s="36" t="s">
        <v>184</v>
      </c>
      <c r="E112" s="36" t="s">
        <v>183</v>
      </c>
      <c r="F112" s="74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U112" s="75">
        <v>0.71057199999999998</v>
      </c>
      <c r="V112" s="75">
        <v>0.51209099999999996</v>
      </c>
      <c r="W112" s="19"/>
      <c r="X112" s="19"/>
      <c r="Y112" s="19"/>
      <c r="Z112" s="19"/>
      <c r="AA112" s="19"/>
      <c r="AB112" s="19"/>
      <c r="AC112" s="19"/>
      <c r="AD112" s="19"/>
      <c r="AF112" s="19"/>
      <c r="AG112" s="20"/>
      <c r="AH112" s="20"/>
      <c r="AI112" s="20"/>
      <c r="AJ112" s="19">
        <f>N112+O112</f>
        <v>0</v>
      </c>
      <c r="AK112" s="19" t="e">
        <f>O112/N112</f>
        <v>#DIV/0!</v>
      </c>
      <c r="AL112" s="19" t="e">
        <f>N112/O112</f>
        <v>#DIV/0!</v>
      </c>
      <c r="AM112" s="19"/>
      <c r="AN112" s="19" t="e">
        <f>O112/I112</f>
        <v>#DIV/0!</v>
      </c>
      <c r="AO112" s="19" t="e">
        <f t="shared" si="192"/>
        <v>#DIV/0!</v>
      </c>
      <c r="AP112" s="19" t="e">
        <f t="shared" si="193"/>
        <v>#DIV/0!</v>
      </c>
      <c r="AQ112" s="19" t="e">
        <f t="shared" si="194"/>
        <v>#DIV/0!</v>
      </c>
      <c r="AR112" s="20">
        <f>1000*(4*(EE112/60.08)-11*(EL112/61.98+EM112/94.2)-2*(EH112/159.69+EF112/79.87))</f>
        <v>0</v>
      </c>
      <c r="AS112" s="20">
        <f>1000*(6*(EK112/56.08)+2*(EJ112/40.3)+EG112/101.96)</f>
        <v>0</v>
      </c>
      <c r="AT112" s="20"/>
      <c r="AU112" s="19" t="e">
        <f>O112/G112</f>
        <v>#DIV/0!</v>
      </c>
      <c r="AV112" s="19" t="e">
        <f t="shared" si="195"/>
        <v>#DIV/0!</v>
      </c>
      <c r="AW112" s="19"/>
      <c r="AX112" s="20"/>
      <c r="AY112" s="20"/>
      <c r="AZ112" s="20"/>
      <c r="BA112" s="22"/>
      <c r="BB112" s="22"/>
      <c r="BC112" s="22"/>
      <c r="BD112" s="22"/>
      <c r="BE112" s="22"/>
      <c r="BF112" s="22"/>
      <c r="BG112" s="22"/>
      <c r="BH112" s="22"/>
      <c r="BJ112" s="20"/>
      <c r="BK112" s="20"/>
      <c r="BL112" s="22"/>
      <c r="BM112" s="22"/>
      <c r="BN112" s="20"/>
      <c r="BO112" s="20"/>
      <c r="BP112" s="20"/>
      <c r="BQ112" s="22"/>
      <c r="BR112" s="22"/>
      <c r="BS112" s="22"/>
      <c r="BT112" s="22"/>
      <c r="BU112" s="22"/>
      <c r="BV112" s="22"/>
      <c r="BW112" s="19"/>
      <c r="BX112" s="19"/>
      <c r="BY112" s="19"/>
      <c r="BZ112" s="22"/>
      <c r="CA112" s="19"/>
      <c r="CB112" s="20"/>
      <c r="CC112" s="20"/>
      <c r="CD112" s="22"/>
      <c r="CE112" s="22"/>
      <c r="CG112" s="22">
        <f t="shared" si="196"/>
        <v>0</v>
      </c>
      <c r="CH112" s="22">
        <f t="shared" si="197"/>
        <v>0</v>
      </c>
      <c r="CI112" s="22">
        <f>BP112/0.0963</f>
        <v>0</v>
      </c>
      <c r="CJ112" s="22">
        <f t="shared" si="198"/>
        <v>0</v>
      </c>
      <c r="CK112" s="22">
        <f t="shared" si="199"/>
        <v>0</v>
      </c>
      <c r="CL112" s="22">
        <f t="shared" si="200"/>
        <v>0</v>
      </c>
      <c r="CM112" s="22">
        <f>BT112/0.212</f>
        <v>0</v>
      </c>
      <c r="CN112" s="22">
        <f t="shared" si="201"/>
        <v>0</v>
      </c>
      <c r="CO112" s="22"/>
      <c r="CP112" s="22">
        <f>BW112/0.0585</f>
        <v>0</v>
      </c>
      <c r="CQ112" s="22">
        <f>BX112/0.163</f>
        <v>0</v>
      </c>
      <c r="CR112" s="22">
        <f>BY112/0.0256</f>
        <v>0</v>
      </c>
      <c r="CS112" s="22">
        <f t="shared" si="202"/>
        <v>0</v>
      </c>
      <c r="CT112" s="22">
        <f t="shared" si="203"/>
        <v>0</v>
      </c>
      <c r="CU112" s="22"/>
      <c r="CV112" s="22"/>
      <c r="CW112" s="22"/>
      <c r="CX112" s="20"/>
      <c r="CY112" s="22"/>
      <c r="CZ112" s="22"/>
      <c r="DA112" s="22"/>
      <c r="DB112" s="22"/>
      <c r="DC112" s="22" t="e">
        <f t="shared" si="204"/>
        <v>#DIV/0!</v>
      </c>
      <c r="DD112" s="22"/>
      <c r="DE112" s="22"/>
      <c r="DF112" s="22"/>
      <c r="DG112" s="19"/>
      <c r="DH112" s="20"/>
      <c r="DI112" s="19"/>
      <c r="DJ112" s="22"/>
      <c r="DK112" s="22"/>
      <c r="DL112" s="22" t="e">
        <f t="shared" si="205"/>
        <v>#DIV/0!</v>
      </c>
      <c r="DM112" s="22"/>
      <c r="DN112" s="76"/>
      <c r="DO112" s="22" t="e">
        <f t="shared" si="206"/>
        <v>#DIV/0!</v>
      </c>
      <c r="DP112" s="20"/>
      <c r="DQ112" s="22"/>
      <c r="DR112" s="22"/>
      <c r="DS112" s="19"/>
      <c r="DT112" s="23"/>
      <c r="DU112" s="22"/>
      <c r="DV112" s="22"/>
      <c r="DW112" s="22"/>
      <c r="DX112" s="22" t="e">
        <f>BK112*100/BJ112</f>
        <v>#DIV/0!</v>
      </c>
      <c r="DY112" s="22" t="e">
        <f>CC112*100/BJ112</f>
        <v>#DIV/0!</v>
      </c>
      <c r="DZ112" s="19"/>
      <c r="EA112" s="23"/>
      <c r="EB112" s="19" t="e">
        <f t="shared" si="207"/>
        <v>#DIV/0!</v>
      </c>
      <c r="EC112" s="19"/>
      <c r="ED112" s="19"/>
      <c r="EE112" s="19"/>
      <c r="EF112" s="19"/>
      <c r="EG112" s="19"/>
      <c r="EH112" s="19"/>
      <c r="EI112" s="19"/>
      <c r="EJ112" s="19"/>
      <c r="EK112" s="19"/>
      <c r="EL112" s="19"/>
      <c r="EM112" s="19"/>
      <c r="EN112" s="19"/>
      <c r="EO112" s="19"/>
    </row>
    <row r="113" spans="1:145" s="36" customFormat="1">
      <c r="A113" s="36" t="s">
        <v>163</v>
      </c>
      <c r="B113" s="36">
        <v>5</v>
      </c>
      <c r="C113" s="36" t="s">
        <v>169</v>
      </c>
      <c r="D113" s="36" t="s">
        <v>182</v>
      </c>
      <c r="E113" s="36" t="s">
        <v>177</v>
      </c>
      <c r="F113" s="74"/>
      <c r="G113" s="19">
        <v>38.11</v>
      </c>
      <c r="H113" s="19">
        <v>2.2400000000000002</v>
      </c>
      <c r="I113" s="19">
        <v>9.5299999999999994</v>
      </c>
      <c r="J113" s="19">
        <v>11.758400000000002</v>
      </c>
      <c r="K113" s="19">
        <v>0.16</v>
      </c>
      <c r="L113" s="19">
        <v>8.5500000000000007</v>
      </c>
      <c r="M113" s="19">
        <v>17.670000000000002</v>
      </c>
      <c r="N113" s="19">
        <v>1.43</v>
      </c>
      <c r="O113" s="19">
        <v>5.93</v>
      </c>
      <c r="P113" s="19">
        <v>1.22</v>
      </c>
      <c r="Q113" s="19">
        <v>2.76</v>
      </c>
      <c r="R113" s="19">
        <v>1.32</v>
      </c>
      <c r="S113" s="19">
        <f>SUM(G113:R113)</f>
        <v>100.6784</v>
      </c>
      <c r="U113" s="75">
        <v>0.71057099999999995</v>
      </c>
      <c r="V113" s="75">
        <v>0.51209099999999996</v>
      </c>
      <c r="W113" s="19"/>
      <c r="X113" s="19"/>
      <c r="Y113" s="19"/>
      <c r="Z113" s="19"/>
      <c r="AA113" s="19"/>
      <c r="AB113" s="19"/>
      <c r="AC113" s="19"/>
      <c r="AD113" s="19"/>
      <c r="AF113" s="19">
        <f>(L113/40.31)/((L113/40.31)+(J113-(J113*0.1189))*0.8998/71.85)</f>
        <v>0.62046240409350828</v>
      </c>
      <c r="AG113" s="20">
        <f>H113*5995</f>
        <v>13428.800000000001</v>
      </c>
      <c r="AH113" s="20">
        <f>O113*8302</f>
        <v>49230.86</v>
      </c>
      <c r="AI113" s="20">
        <f>P113*4364</f>
        <v>5324.08</v>
      </c>
      <c r="AJ113" s="19">
        <f>N113+O113</f>
        <v>7.3599999999999994</v>
      </c>
      <c r="AK113" s="19">
        <f>O113/N113</f>
        <v>4.1468531468531467</v>
      </c>
      <c r="AL113" s="19">
        <f>N113/O113</f>
        <v>0.24114671163575041</v>
      </c>
      <c r="AM113" s="19">
        <f>EK113/EG113</f>
        <v>1.8541448058761807</v>
      </c>
      <c r="AN113" s="19">
        <f>O113/I113</f>
        <v>0.6222455403987408</v>
      </c>
      <c r="AO113" s="19">
        <f t="shared" si="192"/>
        <v>0.92034816057201951</v>
      </c>
      <c r="AP113" s="19">
        <f t="shared" si="193"/>
        <v>1.0865453345160976</v>
      </c>
      <c r="AQ113" s="19">
        <f t="shared" si="194"/>
        <v>0.23302417120619373</v>
      </c>
      <c r="AR113" s="20">
        <f>1000*(4*(EE113/60.08)-11*(EL113/61.98+EM113/94.2)-2*(EH113/159.69+EF113/79.87))</f>
        <v>1436.5380342543208</v>
      </c>
      <c r="AS113" s="20">
        <f>1000*(6*(EK113/56.08)+2*(EJ113/40.3)+EG113/101.96)</f>
        <v>2493.1046441883173</v>
      </c>
      <c r="AT113" s="20"/>
      <c r="AU113" s="19">
        <f>O113/G113</f>
        <v>0.15560220414589346</v>
      </c>
      <c r="AV113" s="19">
        <f t="shared" si="195"/>
        <v>0.67350483332330802</v>
      </c>
      <c r="AW113" s="19"/>
      <c r="AX113" s="20">
        <v>210.2</v>
      </c>
      <c r="AY113" s="20">
        <v>2169</v>
      </c>
      <c r="AZ113" s="20">
        <v>2009.5</v>
      </c>
      <c r="BA113" s="22"/>
      <c r="BB113" s="22">
        <v>15.8</v>
      </c>
      <c r="BC113" s="22">
        <v>436.7</v>
      </c>
      <c r="BD113" s="22">
        <v>57.2</v>
      </c>
      <c r="BE113" s="22">
        <v>34.299999999999997</v>
      </c>
      <c r="BF113" s="22">
        <v>31</v>
      </c>
      <c r="BG113" s="22">
        <v>109.6</v>
      </c>
      <c r="BH113" s="22">
        <v>90.1</v>
      </c>
      <c r="BI113" s="36">
        <v>101.8</v>
      </c>
      <c r="BJ113" s="20">
        <v>1085.8</v>
      </c>
      <c r="BK113" s="20">
        <v>54.3</v>
      </c>
      <c r="BL113" s="22"/>
      <c r="BM113" s="22"/>
      <c r="BN113" s="20">
        <v>249.7</v>
      </c>
      <c r="BO113" s="20">
        <v>566.29999999999995</v>
      </c>
      <c r="BP113" s="20"/>
      <c r="BQ113" s="22">
        <v>285.10000000000002</v>
      </c>
      <c r="BR113" s="22">
        <v>53.1</v>
      </c>
      <c r="BS113" s="22">
        <v>9</v>
      </c>
      <c r="BT113" s="22">
        <v>40.299999999999997</v>
      </c>
      <c r="BU113" s="22"/>
      <c r="BV113" s="22">
        <v>27.4</v>
      </c>
      <c r="BW113" s="19"/>
      <c r="BX113" s="19">
        <v>11.6</v>
      </c>
      <c r="BY113" s="19"/>
      <c r="BZ113" s="22">
        <v>8.6999999999999993</v>
      </c>
      <c r="CA113" s="19">
        <v>1.5</v>
      </c>
      <c r="CB113" s="20">
        <v>56.1</v>
      </c>
      <c r="CC113" s="20">
        <v>136.1</v>
      </c>
      <c r="CD113" s="22"/>
      <c r="CE113" s="22">
        <v>21.1</v>
      </c>
      <c r="CG113" s="22">
        <f t="shared" si="196"/>
        <v>1031.8181818181818</v>
      </c>
      <c r="CH113" s="22">
        <f t="shared" si="197"/>
        <v>891.81102362204717</v>
      </c>
      <c r="CI113" s="22"/>
      <c r="CJ113" s="22">
        <f t="shared" si="198"/>
        <v>593.95833333333337</v>
      </c>
      <c r="CK113" s="22">
        <f t="shared" si="199"/>
        <v>340.38461538461542</v>
      </c>
      <c r="CL113" s="22">
        <f t="shared" si="200"/>
        <v>152.28426395939087</v>
      </c>
      <c r="CM113" s="22">
        <f>BT113/0.212</f>
        <v>190.09433962264151</v>
      </c>
      <c r="CN113" s="22">
        <f t="shared" si="201"/>
        <v>0</v>
      </c>
      <c r="CO113" s="22"/>
      <c r="CP113" s="22">
        <f>BW113/0.0585</f>
        <v>0</v>
      </c>
      <c r="CQ113" s="22">
        <f>BX113/0.163</f>
        <v>71.165644171779135</v>
      </c>
      <c r="CR113" s="22">
        <f>BY113/0.0256</f>
        <v>0</v>
      </c>
      <c r="CS113" s="22">
        <f t="shared" si="202"/>
        <v>52.409638554216862</v>
      </c>
      <c r="CT113" s="22">
        <f t="shared" si="203"/>
        <v>62.5</v>
      </c>
      <c r="CU113" s="22">
        <f>AZ113/BK113</f>
        <v>37.007366482504608</v>
      </c>
      <c r="CV113" s="22">
        <f>AZ113/BN113</f>
        <v>8.0476571886263528</v>
      </c>
      <c r="CW113" s="22">
        <f>BN113/BK113</f>
        <v>4.5985267034990791</v>
      </c>
      <c r="CX113" s="20">
        <f>AG113/BK113</f>
        <v>247.30755064456724</v>
      </c>
      <c r="CY113" s="22">
        <f>BO113/CB113</f>
        <v>10.094474153297682</v>
      </c>
      <c r="CZ113" s="22"/>
      <c r="DA113" s="22">
        <f>AX113/BR113</f>
        <v>3.9585687382297547</v>
      </c>
      <c r="DB113" s="22">
        <f>BJ113/BK113</f>
        <v>19.9963167587477</v>
      </c>
      <c r="DC113" s="22">
        <f t="shared" si="204"/>
        <v>14.764878765613521</v>
      </c>
      <c r="DD113" s="22"/>
      <c r="DE113" s="22"/>
      <c r="DF113" s="22">
        <f>CC113/BZ113</f>
        <v>15.64367816091954</v>
      </c>
      <c r="DG113" s="19">
        <f>BK113/BI113</f>
        <v>0.53339882121807469</v>
      </c>
      <c r="DH113" s="20">
        <f>AH113/BN113</f>
        <v>197.16003203844613</v>
      </c>
      <c r="DI113" s="19"/>
      <c r="DJ113" s="22">
        <f>BN113/CA113</f>
        <v>166.46666666666667</v>
      </c>
      <c r="DK113" s="22">
        <f>CG113/CT113</f>
        <v>16.509090909090908</v>
      </c>
      <c r="DL113" s="22">
        <f t="shared" si="205"/>
        <v>3.0313302516692344</v>
      </c>
      <c r="DM113" s="22">
        <f>BN113/BZ113</f>
        <v>28.701149425287358</v>
      </c>
      <c r="DN113" s="76"/>
      <c r="DO113" s="22">
        <f t="shared" si="206"/>
        <v>6.1034482758620694</v>
      </c>
      <c r="DP113" s="20">
        <f>AY113/BZ113</f>
        <v>249.31034482758622</v>
      </c>
      <c r="DQ113" s="22">
        <f>AY113/BQ113</f>
        <v>7.6078568923184839</v>
      </c>
      <c r="DR113" s="22">
        <f>AY113/(((BR113/0.195)*(BT113/0.259))^0.5)</f>
        <v>10.53724204566465</v>
      </c>
      <c r="DS113" s="19">
        <f>(BS113/0.074)/(((BR113/0.195)*(BT113/0.259))^0.5)</f>
        <v>0.59085129783921997</v>
      </c>
      <c r="DT113" s="23">
        <f>1/AY113</f>
        <v>4.6104195481788842E-4</v>
      </c>
      <c r="DU113" s="22">
        <f>BJ113/BI113</f>
        <v>10.666011787819253</v>
      </c>
      <c r="DV113" s="22"/>
      <c r="DW113" s="22">
        <f>1.74+LOG(BK113/BI113)-1.92*LOG(BJ113/BI113)</f>
        <v>-0.50671190230422125</v>
      </c>
      <c r="DX113" s="22">
        <f>BK113*100/BJ113</f>
        <v>5.000920979922638</v>
      </c>
      <c r="DY113" s="22">
        <f>CC113*100/BJ113</f>
        <v>12.534536747098914</v>
      </c>
      <c r="DZ113" s="19">
        <f>EK113*100/AY113</f>
        <v>0.84334847592010731</v>
      </c>
      <c r="EA113" s="23"/>
      <c r="EB113" s="19">
        <f t="shared" si="207"/>
        <v>2.5064456721915285</v>
      </c>
      <c r="EC113" s="19"/>
      <c r="ED113" s="19"/>
      <c r="EE113" s="19">
        <f t="shared" ref="EE113:EN115" si="209">100*G113/($G113+$H113+$I113+$J113+$K113+$L113+$M113+$N113+$O113+$P113)</f>
        <v>39.451999204955776</v>
      </c>
      <c r="EF113" s="19">
        <f t="shared" si="209"/>
        <v>2.3188789876436879</v>
      </c>
      <c r="EG113" s="19">
        <f t="shared" si="209"/>
        <v>9.8655878358233675</v>
      </c>
      <c r="EH113" s="19">
        <f t="shared" si="209"/>
        <v>12.172458342995331</v>
      </c>
      <c r="EI113" s="19">
        <f t="shared" si="209"/>
        <v>0.16563421340312054</v>
      </c>
      <c r="EJ113" s="19">
        <f t="shared" si="209"/>
        <v>8.8510782787292559</v>
      </c>
      <c r="EK113" s="19">
        <f t="shared" si="209"/>
        <v>18.292228442707128</v>
      </c>
      <c r="EL113" s="19">
        <f t="shared" si="209"/>
        <v>1.4803557822903899</v>
      </c>
      <c r="EM113" s="19">
        <f t="shared" si="209"/>
        <v>6.1388180342531555</v>
      </c>
      <c r="EN113" s="19">
        <f t="shared" si="209"/>
        <v>1.2629608771987941</v>
      </c>
      <c r="EO113" s="19">
        <f>SUM(EE113:EN113)</f>
        <v>100</v>
      </c>
    </row>
    <row r="114" spans="1:145" s="36" customFormat="1">
      <c r="A114" s="36" t="s">
        <v>170</v>
      </c>
      <c r="B114" s="36">
        <v>5</v>
      </c>
      <c r="C114" s="36" t="s">
        <v>181</v>
      </c>
      <c r="D114" s="36" t="s">
        <v>180</v>
      </c>
      <c r="E114" s="36" t="s">
        <v>167</v>
      </c>
      <c r="F114" s="36">
        <v>0.46500000000000002</v>
      </c>
      <c r="G114" s="19">
        <v>38.96</v>
      </c>
      <c r="H114" s="19">
        <v>2.14</v>
      </c>
      <c r="I114" s="19">
        <v>10.44</v>
      </c>
      <c r="J114" s="19">
        <v>11.021000000000001</v>
      </c>
      <c r="K114" s="19">
        <v>0.18</v>
      </c>
      <c r="L114" s="19">
        <v>7.3</v>
      </c>
      <c r="M114" s="19">
        <v>18.850000000000001</v>
      </c>
      <c r="N114" s="19">
        <v>1.65</v>
      </c>
      <c r="O114" s="19">
        <v>7.03</v>
      </c>
      <c r="P114" s="19">
        <v>1.49</v>
      </c>
      <c r="Q114" s="19">
        <v>1.72</v>
      </c>
      <c r="R114" s="19"/>
      <c r="S114" s="19">
        <f>SUM(G114:Q114)</f>
        <v>100.78099999999999</v>
      </c>
      <c r="U114" s="75"/>
      <c r="V114" s="75"/>
      <c r="W114" s="19"/>
      <c r="X114" s="19"/>
      <c r="Y114" s="19"/>
      <c r="Z114" s="19"/>
      <c r="AA114" s="19"/>
      <c r="AB114" s="22"/>
      <c r="AC114" s="22"/>
      <c r="AF114" s="19">
        <f>(L114/40.31)/((L114/40.31)+(J114-(J114*0.15))*0.8998/71.85)</f>
        <v>0.60686529469259798</v>
      </c>
      <c r="AG114" s="20">
        <f>H114*5995</f>
        <v>12829.300000000001</v>
      </c>
      <c r="AH114" s="20">
        <f>O114*8302</f>
        <v>58363.060000000005</v>
      </c>
      <c r="AI114" s="20">
        <f>P114*4364</f>
        <v>6502.36</v>
      </c>
      <c r="AJ114" s="19">
        <f>N114+O114</f>
        <v>8.68</v>
      </c>
      <c r="AK114" s="19">
        <f>O114/N114</f>
        <v>4.2606060606060607</v>
      </c>
      <c r="AL114" s="19">
        <f>N114/O114</f>
        <v>0.23470839260312942</v>
      </c>
      <c r="AM114" s="19">
        <f>EK114/EG114</f>
        <v>1.805555555555556</v>
      </c>
      <c r="AN114" s="19">
        <f>O114/I114</f>
        <v>0.67337164750957856</v>
      </c>
      <c r="AO114" s="19">
        <f t="shared" si="192"/>
        <v>0.98883562980336281</v>
      </c>
      <c r="AP114" s="19">
        <f t="shared" si="193"/>
        <v>1.0112904206322515</v>
      </c>
      <c r="AQ114" s="19">
        <f t="shared" si="194"/>
        <v>0.23410723056299604</v>
      </c>
      <c r="AR114" s="20">
        <f>1000*(4*(EE114/60.08)-11*(EL114/61.98*2+EM114/94.2*2)-2*(EH114/159.69*2+EF114/79.87))</f>
        <v>37.077344817230518</v>
      </c>
      <c r="AS114" s="20">
        <f>1000*(6*(EK114/56.08)+2*(EJ114/40.3)+EG114/101.96*2)</f>
        <v>2608.3229908606677</v>
      </c>
      <c r="AT114" s="19"/>
      <c r="AU114" s="19">
        <f>O114/G114</f>
        <v>0.18044147843942504</v>
      </c>
      <c r="AV114" s="19">
        <f t="shared" si="195"/>
        <v>0.72884260276089841</v>
      </c>
      <c r="AW114" s="19"/>
      <c r="AX114" s="20">
        <v>277</v>
      </c>
      <c r="AY114" s="20">
        <v>2330</v>
      </c>
      <c r="AZ114" s="20">
        <v>2044</v>
      </c>
      <c r="BA114" s="22"/>
      <c r="BB114" s="22">
        <v>58</v>
      </c>
      <c r="BC114" s="22">
        <v>430</v>
      </c>
      <c r="BD114" s="22">
        <v>75</v>
      </c>
      <c r="BE114" s="22">
        <v>38</v>
      </c>
      <c r="BF114" s="22">
        <v>40</v>
      </c>
      <c r="BG114" s="22"/>
      <c r="BH114" s="22"/>
      <c r="BI114" s="36">
        <v>95</v>
      </c>
      <c r="BJ114" s="20">
        <v>952</v>
      </c>
      <c r="BK114" s="20">
        <v>39</v>
      </c>
      <c r="BL114" s="22">
        <v>25</v>
      </c>
      <c r="BM114" s="22">
        <v>2.2999999999999998</v>
      </c>
      <c r="BN114" s="20">
        <v>236</v>
      </c>
      <c r="BO114" s="20">
        <v>482</v>
      </c>
      <c r="BP114" s="20"/>
      <c r="BQ114" s="22">
        <v>214</v>
      </c>
      <c r="BR114" s="22">
        <v>52</v>
      </c>
      <c r="BS114" s="22">
        <v>8.1</v>
      </c>
      <c r="BT114" s="22"/>
      <c r="BU114" s="22">
        <v>3.9</v>
      </c>
      <c r="BV114" s="22"/>
      <c r="BW114" s="19"/>
      <c r="BX114" s="19"/>
      <c r="BY114" s="19"/>
      <c r="BZ114" s="22">
        <v>6.7</v>
      </c>
      <c r="CA114" s="19">
        <v>1</v>
      </c>
      <c r="CB114" s="20"/>
      <c r="CC114" s="20">
        <v>112</v>
      </c>
      <c r="CD114" s="22"/>
      <c r="CE114" s="22"/>
      <c r="CG114" s="22">
        <f t="shared" si="196"/>
        <v>975.20661157024801</v>
      </c>
      <c r="CH114" s="22">
        <f t="shared" si="197"/>
        <v>759.05511811023621</v>
      </c>
      <c r="CI114" s="22"/>
      <c r="CJ114" s="22">
        <f t="shared" si="198"/>
        <v>445.83333333333337</v>
      </c>
      <c r="CK114" s="22">
        <f t="shared" si="199"/>
        <v>333.33333333333331</v>
      </c>
      <c r="CL114" s="22">
        <f t="shared" si="200"/>
        <v>137.05583756345177</v>
      </c>
      <c r="CM114" s="22"/>
      <c r="CN114" s="22">
        <f t="shared" si="201"/>
        <v>103.72340425531914</v>
      </c>
      <c r="CO114" s="22"/>
      <c r="CP114" s="22"/>
      <c r="CQ114" s="22"/>
      <c r="CR114" s="22"/>
      <c r="CS114" s="22">
        <f t="shared" si="202"/>
        <v>40.361445783132531</v>
      </c>
      <c r="CT114" s="22">
        <f t="shared" si="203"/>
        <v>41.666666666666664</v>
      </c>
      <c r="CU114" s="22">
        <f>AZ114/BK114</f>
        <v>52.410256410256409</v>
      </c>
      <c r="CV114" s="22">
        <f>AZ114/BN114</f>
        <v>8.6610169491525415</v>
      </c>
      <c r="CW114" s="22">
        <f>BN114/BK114</f>
        <v>6.0512820512820511</v>
      </c>
      <c r="CX114" s="20">
        <f>AG114/BK114</f>
        <v>328.95641025641027</v>
      </c>
      <c r="CY114" s="22"/>
      <c r="CZ114" s="22"/>
      <c r="DA114" s="22">
        <f>AX114/BR114</f>
        <v>5.3269230769230766</v>
      </c>
      <c r="DB114" s="22">
        <f>BJ114/BK114</f>
        <v>24.410256410256409</v>
      </c>
      <c r="DC114" s="22">
        <f t="shared" si="204"/>
        <v>18.25</v>
      </c>
      <c r="DD114" s="22">
        <f>CC114/BM114</f>
        <v>48.695652173913047</v>
      </c>
      <c r="DE114" s="22">
        <f>BM114/BZ114</f>
        <v>0.34328358208955223</v>
      </c>
      <c r="DF114" s="22">
        <f>CC114/BZ114</f>
        <v>16.71641791044776</v>
      </c>
      <c r="DG114" s="19">
        <f>BK114/BI114</f>
        <v>0.41052631578947368</v>
      </c>
      <c r="DH114" s="20">
        <f>AH114/BN114</f>
        <v>247.30110169491527</v>
      </c>
      <c r="DI114" s="19"/>
      <c r="DJ114" s="22">
        <f>BN114/CA114</f>
        <v>236</v>
      </c>
      <c r="DK114" s="22">
        <f>CG114/CT114</f>
        <v>23.404958677685954</v>
      </c>
      <c r="DL114" s="22">
        <f t="shared" si="205"/>
        <v>2.9256198347107443</v>
      </c>
      <c r="DM114" s="22">
        <f>BN114/BZ114</f>
        <v>35.223880597014926</v>
      </c>
      <c r="DN114" s="76">
        <f>BL114/BQ114</f>
        <v>0.11682242990654206</v>
      </c>
      <c r="DO114" s="22">
        <f t="shared" si="206"/>
        <v>7.7611940298507465</v>
      </c>
      <c r="DP114" s="20">
        <f>AY114/BZ114</f>
        <v>347.76119402985074</v>
      </c>
      <c r="DQ114" s="22">
        <f>AY114/BQ114</f>
        <v>10.88785046728972</v>
      </c>
      <c r="DR114" s="22"/>
      <c r="DS114" s="19"/>
      <c r="DT114" s="23">
        <f>1/AY114</f>
        <v>4.2918454935622315E-4</v>
      </c>
      <c r="DU114" s="22">
        <f>BJ114/BI114</f>
        <v>10.021052631578947</v>
      </c>
      <c r="DV114" s="22">
        <f>BK114/BM114</f>
        <v>16.956521739130437</v>
      </c>
      <c r="DW114" s="22">
        <f>1.74+LOG(BK114/BI114)-1.92*LOG(BJ114/BI114)</f>
        <v>-0.56841261700595136</v>
      </c>
      <c r="DX114" s="22">
        <f>BK114*100/BJ114</f>
        <v>4.0966386554621845</v>
      </c>
      <c r="DY114" s="22">
        <f>CC114*100/BJ114</f>
        <v>11.764705882352942</v>
      </c>
      <c r="DZ114" s="19">
        <f>EK114*100/AY114</f>
        <v>0.81668151496197383</v>
      </c>
      <c r="EA114" s="23"/>
      <c r="EB114" s="19">
        <f t="shared" si="207"/>
        <v>2.8717948717948718</v>
      </c>
      <c r="EC114" s="19"/>
      <c r="ED114" s="19"/>
      <c r="EE114" s="19">
        <f t="shared" si="209"/>
        <v>39.329302147161854</v>
      </c>
      <c r="EF114" s="19">
        <f t="shared" si="209"/>
        <v>2.1602850768718267</v>
      </c>
      <c r="EG114" s="19">
        <f t="shared" si="209"/>
        <v>10.538960842309285</v>
      </c>
      <c r="EH114" s="19">
        <f t="shared" si="209"/>
        <v>11.125468145889908</v>
      </c>
      <c r="EI114" s="19">
        <f t="shared" si="209"/>
        <v>0.1817062214191256</v>
      </c>
      <c r="EJ114" s="19">
        <f t="shared" si="209"/>
        <v>7.3691967575534276</v>
      </c>
      <c r="EK114" s="19">
        <f t="shared" si="209"/>
        <v>19.028679298613991</v>
      </c>
      <c r="EL114" s="19">
        <f t="shared" si="209"/>
        <v>1.6656403630086514</v>
      </c>
      <c r="EM114" s="19">
        <f t="shared" si="209"/>
        <v>7.0966374254247384</v>
      </c>
      <c r="EN114" s="19">
        <f t="shared" si="209"/>
        <v>1.5041237217472063</v>
      </c>
      <c r="EO114" s="19">
        <f>SUM(EE114:EN114)</f>
        <v>100.00000000000001</v>
      </c>
    </row>
    <row r="115" spans="1:145" s="36" customFormat="1">
      <c r="A115" s="36" t="s">
        <v>170</v>
      </c>
      <c r="B115" s="36">
        <v>5</v>
      </c>
      <c r="C115" s="36" t="s">
        <v>179</v>
      </c>
      <c r="D115" s="36" t="s">
        <v>267</v>
      </c>
      <c r="E115" s="36" t="s">
        <v>167</v>
      </c>
      <c r="F115" s="36">
        <v>0.46500000000000002</v>
      </c>
      <c r="G115" s="19">
        <v>40.270000000000003</v>
      </c>
      <c r="H115" s="19">
        <v>2.0699999999999998</v>
      </c>
      <c r="I115" s="19">
        <v>9.9</v>
      </c>
      <c r="J115" s="19">
        <v>11.360400000000002</v>
      </c>
      <c r="K115" s="19">
        <v>0.2</v>
      </c>
      <c r="L115" s="19">
        <v>9.15</v>
      </c>
      <c r="M115" s="19">
        <v>17.88</v>
      </c>
      <c r="N115" s="19">
        <v>1.56</v>
      </c>
      <c r="O115" s="19">
        <v>6.26</v>
      </c>
      <c r="P115" s="19">
        <v>1.1399999999999999</v>
      </c>
      <c r="Q115" s="19">
        <v>1.06</v>
      </c>
      <c r="R115" s="19"/>
      <c r="S115" s="19">
        <f>SUM(G115:Q115)</f>
        <v>100.85040000000002</v>
      </c>
      <c r="U115" s="75"/>
      <c r="V115" s="75"/>
      <c r="W115" s="19"/>
      <c r="X115" s="19"/>
      <c r="Y115" s="19"/>
      <c r="Z115" s="19"/>
      <c r="AA115" s="19"/>
      <c r="AB115" s="22"/>
      <c r="AC115" s="22"/>
      <c r="AF115" s="19">
        <f>(L115/40.31)/((L115/40.31)+(J115-(J115*0.15))*0.8998/71.85)</f>
        <v>0.65242211139797512</v>
      </c>
      <c r="AG115" s="20">
        <f>H115*5995</f>
        <v>12409.65</v>
      </c>
      <c r="AH115" s="20">
        <f>O115*8302</f>
        <v>51970.52</v>
      </c>
      <c r="AI115" s="20">
        <f>P115*4364</f>
        <v>4974.9599999999991</v>
      </c>
      <c r="AJ115" s="19">
        <f>N115+O115</f>
        <v>7.82</v>
      </c>
      <c r="AK115" s="19">
        <f>O115/N115</f>
        <v>4.0128205128205128</v>
      </c>
      <c r="AL115" s="19">
        <f>N115/O115</f>
        <v>0.24920127795527158</v>
      </c>
      <c r="AM115" s="19">
        <f>EK115/EG115</f>
        <v>1.8060606060606061</v>
      </c>
      <c r="AN115" s="19">
        <f>O115/I115</f>
        <v>0.63232323232323229</v>
      </c>
      <c r="AO115" s="19">
        <f t="shared" si="192"/>
        <v>0.94363219860953862</v>
      </c>
      <c r="AP115" s="19">
        <f t="shared" si="193"/>
        <v>1.0597349279449351</v>
      </c>
      <c r="AQ115" s="19">
        <f t="shared" si="194"/>
        <v>0.23655975991278902</v>
      </c>
      <c r="AR115" s="20">
        <f>1000*(4*(EE115/60.08)-11*(EL115/61.98*2+EM115/94.2*2)-2*(EH115/159.69*2+EF115/79.87))</f>
        <v>329.66452369399815</v>
      </c>
      <c r="AS115" s="20">
        <f>1000*(6*(EK115/56.08)+2*(EJ115/40.3)+EG115/101.96*2)</f>
        <v>2566.6492461789353</v>
      </c>
      <c r="AT115" s="19"/>
      <c r="AU115" s="19">
        <f>O115/G115</f>
        <v>0.15545070772287062</v>
      </c>
      <c r="AV115" s="19">
        <f t="shared" si="195"/>
        <v>0.68441270454009295</v>
      </c>
      <c r="AW115" s="19"/>
      <c r="AX115" s="20">
        <v>218</v>
      </c>
      <c r="AY115" s="20">
        <v>2229</v>
      </c>
      <c r="AZ115" s="20">
        <v>2159</v>
      </c>
      <c r="BA115" s="22">
        <v>14</v>
      </c>
      <c r="BB115" s="22">
        <v>55.1</v>
      </c>
      <c r="BC115" s="22"/>
      <c r="BD115" s="22">
        <v>69</v>
      </c>
      <c r="BE115" s="22">
        <v>37.1</v>
      </c>
      <c r="BF115" s="22">
        <v>63</v>
      </c>
      <c r="BG115" s="22"/>
      <c r="BH115" s="22"/>
      <c r="BI115" s="36">
        <v>65</v>
      </c>
      <c r="BJ115" s="20">
        <v>586</v>
      </c>
      <c r="BK115" s="20">
        <v>44</v>
      </c>
      <c r="BL115" s="22">
        <v>22</v>
      </c>
      <c r="BM115" s="22">
        <v>2.1</v>
      </c>
      <c r="BN115" s="20">
        <v>229</v>
      </c>
      <c r="BO115" s="20">
        <v>475</v>
      </c>
      <c r="BP115" s="20"/>
      <c r="BQ115" s="22">
        <v>209</v>
      </c>
      <c r="BR115" s="22">
        <v>49</v>
      </c>
      <c r="BS115" s="22">
        <v>7.98</v>
      </c>
      <c r="BT115" s="22"/>
      <c r="BU115" s="22">
        <v>4</v>
      </c>
      <c r="BV115" s="22"/>
      <c r="BW115" s="19"/>
      <c r="BX115" s="19"/>
      <c r="BY115" s="19"/>
      <c r="BZ115" s="22">
        <v>6.5</v>
      </c>
      <c r="CA115" s="19">
        <v>0.7</v>
      </c>
      <c r="CB115" s="20"/>
      <c r="CC115" s="20">
        <v>81</v>
      </c>
      <c r="CD115" s="22">
        <v>23.8</v>
      </c>
      <c r="CE115" s="22"/>
      <c r="CG115" s="22">
        <f t="shared" si="196"/>
        <v>946.28099173553721</v>
      </c>
      <c r="CH115" s="22">
        <f t="shared" si="197"/>
        <v>748.03149606299212</v>
      </c>
      <c r="CI115" s="22"/>
      <c r="CJ115" s="22">
        <f t="shared" si="198"/>
        <v>435.41666666666669</v>
      </c>
      <c r="CK115" s="22">
        <f t="shared" si="199"/>
        <v>314.10256410256409</v>
      </c>
      <c r="CL115" s="22">
        <f t="shared" si="200"/>
        <v>135.0253807106599</v>
      </c>
      <c r="CM115" s="22"/>
      <c r="CN115" s="22">
        <f t="shared" si="201"/>
        <v>106.38297872340425</v>
      </c>
      <c r="CO115" s="22"/>
      <c r="CP115" s="22"/>
      <c r="CQ115" s="22"/>
      <c r="CR115" s="22"/>
      <c r="CS115" s="22">
        <f t="shared" si="202"/>
        <v>39.156626506024097</v>
      </c>
      <c r="CT115" s="22">
        <f t="shared" si="203"/>
        <v>29.166666666666664</v>
      </c>
      <c r="CU115" s="22">
        <f>AZ115/BK115</f>
        <v>49.06818181818182</v>
      </c>
      <c r="CV115" s="22">
        <f>AZ115/BN115</f>
        <v>9.4279475982532759</v>
      </c>
      <c r="CW115" s="22">
        <f>BN115/BK115</f>
        <v>5.2045454545454541</v>
      </c>
      <c r="CX115" s="20">
        <f>AG115/BK115</f>
        <v>282.03749999999997</v>
      </c>
      <c r="CY115" s="22"/>
      <c r="CZ115" s="22">
        <f>BK115/CD115</f>
        <v>1.8487394957983192</v>
      </c>
      <c r="DA115" s="22">
        <f>AX115/BR115</f>
        <v>4.4489795918367347</v>
      </c>
      <c r="DB115" s="22">
        <f>BJ115/BK115</f>
        <v>13.318181818181818</v>
      </c>
      <c r="DC115" s="22">
        <f t="shared" si="204"/>
        <v>26.654320987654319</v>
      </c>
      <c r="DD115" s="22">
        <f>CC115/BM115</f>
        <v>38.571428571428569</v>
      </c>
      <c r="DE115" s="22">
        <f>BM115/BZ115</f>
        <v>0.32307692307692309</v>
      </c>
      <c r="DF115" s="22">
        <f>CC115/BZ115</f>
        <v>12.461538461538462</v>
      </c>
      <c r="DG115" s="19">
        <f>BK115/BI115</f>
        <v>0.67692307692307696</v>
      </c>
      <c r="DH115" s="20">
        <f>AH115/BN115</f>
        <v>226.94550218340609</v>
      </c>
      <c r="DI115" s="19">
        <f>(BK115/0.46)/((O115/0.023)*(CD115/0.017))^0.5</f>
        <v>0.15495570788694105</v>
      </c>
      <c r="DJ115" s="22">
        <f>BN115/CA115</f>
        <v>327.14285714285717</v>
      </c>
      <c r="DK115" s="22">
        <f>CG115/CT115</f>
        <v>32.443919716646995</v>
      </c>
      <c r="DL115" s="22">
        <f t="shared" si="205"/>
        <v>3.0126496879743634</v>
      </c>
      <c r="DM115" s="22">
        <f>BN115/BZ115</f>
        <v>35.230769230769234</v>
      </c>
      <c r="DN115" s="76">
        <f>BL115/BQ115</f>
        <v>0.10526315789473684</v>
      </c>
      <c r="DO115" s="22">
        <f t="shared" si="206"/>
        <v>7.5384615384615383</v>
      </c>
      <c r="DP115" s="20">
        <f>AY115/BZ115</f>
        <v>342.92307692307691</v>
      </c>
      <c r="DQ115" s="22">
        <f>AY115/BQ115</f>
        <v>10.665071770334928</v>
      </c>
      <c r="DR115" s="22"/>
      <c r="DS115" s="19"/>
      <c r="DT115" s="23">
        <f>1/AY115</f>
        <v>4.4863167339614175E-4</v>
      </c>
      <c r="DU115" s="22">
        <f>BJ115/BI115</f>
        <v>9.0153846153846153</v>
      </c>
      <c r="DV115" s="22">
        <f>BK115/BM115</f>
        <v>20.952380952380953</v>
      </c>
      <c r="DW115" s="22">
        <f>1.74+LOG(BK115/BI115)-1.92*LOG(BJ115/BI115)</f>
        <v>-0.26303045815711945</v>
      </c>
      <c r="DX115" s="22">
        <f>BK115*100/BJ115</f>
        <v>7.5085324232081909</v>
      </c>
      <c r="DY115" s="22">
        <f>CC115*100/BJ115</f>
        <v>13.822525597269625</v>
      </c>
      <c r="DZ115" s="19">
        <f>EK115*100/AY115</f>
        <v>0.80383827706102118</v>
      </c>
      <c r="EA115" s="23"/>
      <c r="EB115" s="19">
        <f t="shared" si="207"/>
        <v>1.8409090909090908</v>
      </c>
      <c r="EC115" s="19"/>
      <c r="ED115" s="19"/>
      <c r="EE115" s="19">
        <f t="shared" si="209"/>
        <v>40.354583206400612</v>
      </c>
      <c r="EF115" s="19">
        <f t="shared" si="209"/>
        <v>2.0743478330580891</v>
      </c>
      <c r="EG115" s="19">
        <f t="shared" si="209"/>
        <v>9.9207939841908619</v>
      </c>
      <c r="EH115" s="19">
        <f t="shared" si="209"/>
        <v>11.384261411919383</v>
      </c>
      <c r="EI115" s="19">
        <f t="shared" si="209"/>
        <v>0.20042008048870427</v>
      </c>
      <c r="EJ115" s="19">
        <f t="shared" si="209"/>
        <v>9.1692186823582205</v>
      </c>
      <c r="EK115" s="19">
        <f t="shared" si="209"/>
        <v>17.917555195690163</v>
      </c>
      <c r="EL115" s="19">
        <f t="shared" si="209"/>
        <v>1.5632766278118935</v>
      </c>
      <c r="EM115" s="19">
        <f t="shared" si="209"/>
        <v>6.273148519296444</v>
      </c>
      <c r="EN115" s="19">
        <f t="shared" si="209"/>
        <v>1.1423944587856143</v>
      </c>
      <c r="EO115" s="19">
        <f>SUM(EE115:EN115)</f>
        <v>99.999999999999986</v>
      </c>
    </row>
    <row r="116" spans="1:145" s="36" customFormat="1">
      <c r="A116" s="36" t="s">
        <v>170</v>
      </c>
      <c r="B116" s="36">
        <v>5</v>
      </c>
      <c r="C116" s="36" t="s">
        <v>169</v>
      </c>
      <c r="D116" s="36" t="s">
        <v>178</v>
      </c>
      <c r="E116" s="36" t="s">
        <v>177</v>
      </c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U116" s="75">
        <v>0.71059000000000005</v>
      </c>
      <c r="V116" s="75">
        <v>0.51202700000000001</v>
      </c>
      <c r="W116" s="19"/>
      <c r="X116" s="19"/>
      <c r="Y116" s="19"/>
      <c r="Z116" s="19"/>
      <c r="AA116" s="19"/>
      <c r="AB116" s="22"/>
      <c r="AC116" s="22"/>
      <c r="AF116" s="19"/>
      <c r="AG116" s="20"/>
      <c r="AH116" s="20"/>
      <c r="AI116" s="20"/>
      <c r="AJ116" s="19"/>
      <c r="AK116" s="19"/>
      <c r="AL116" s="19"/>
      <c r="AM116" s="19"/>
      <c r="AN116" s="19"/>
      <c r="AO116" s="19"/>
      <c r="AP116" s="19"/>
      <c r="AQ116" s="19"/>
      <c r="AR116" s="20"/>
      <c r="AS116" s="20"/>
      <c r="AT116" s="19"/>
      <c r="AU116" s="19"/>
      <c r="AV116" s="19"/>
      <c r="AW116" s="19"/>
      <c r="AX116" s="20"/>
      <c r="AY116" s="20"/>
      <c r="AZ116" s="20"/>
      <c r="BA116" s="22"/>
      <c r="BB116" s="22"/>
      <c r="BC116" s="22"/>
      <c r="BD116" s="22"/>
      <c r="BE116" s="22"/>
      <c r="BF116" s="22"/>
      <c r="BG116" s="22"/>
      <c r="BH116" s="22"/>
      <c r="BJ116" s="20"/>
      <c r="BK116" s="20"/>
      <c r="BL116" s="22"/>
      <c r="BM116" s="22"/>
      <c r="BN116" s="20"/>
      <c r="BO116" s="20"/>
      <c r="BP116" s="20"/>
      <c r="BQ116" s="22"/>
      <c r="BR116" s="22"/>
      <c r="BS116" s="22"/>
      <c r="BT116" s="22"/>
      <c r="BU116" s="22"/>
      <c r="BV116" s="22"/>
      <c r="BW116" s="19"/>
      <c r="BX116" s="19"/>
      <c r="BY116" s="19"/>
      <c r="BZ116" s="22"/>
      <c r="CA116" s="19"/>
      <c r="CB116" s="20"/>
      <c r="CC116" s="20"/>
      <c r="CD116" s="22"/>
      <c r="CE116" s="22"/>
      <c r="CG116" s="22"/>
      <c r="CH116" s="22"/>
      <c r="CI116" s="22"/>
      <c r="CJ116" s="22"/>
      <c r="CK116" s="22"/>
      <c r="CL116" s="22"/>
      <c r="CM116" s="22"/>
      <c r="CN116" s="22"/>
      <c r="CO116" s="22"/>
      <c r="CP116" s="22"/>
      <c r="CQ116" s="22"/>
      <c r="CR116" s="22"/>
      <c r="CS116" s="22"/>
      <c r="CT116" s="22"/>
      <c r="CU116" s="22"/>
      <c r="CV116" s="22"/>
      <c r="CW116" s="22"/>
      <c r="CX116" s="20"/>
      <c r="CY116" s="22"/>
      <c r="CZ116" s="22"/>
      <c r="DA116" s="22"/>
      <c r="DB116" s="22"/>
      <c r="DC116" s="22"/>
      <c r="DD116" s="22"/>
      <c r="DE116" s="22"/>
      <c r="DF116" s="22"/>
      <c r="DG116" s="19"/>
      <c r="DH116" s="20"/>
      <c r="DI116" s="19"/>
      <c r="DJ116" s="22"/>
      <c r="DK116" s="22"/>
      <c r="DL116" s="22"/>
      <c r="DM116" s="22"/>
      <c r="DN116" s="76"/>
      <c r="DO116" s="22"/>
      <c r="DP116" s="20"/>
      <c r="DQ116" s="22"/>
      <c r="DR116" s="22"/>
      <c r="DS116" s="19"/>
      <c r="DT116" s="23"/>
      <c r="DU116" s="22"/>
      <c r="DV116" s="22"/>
      <c r="DW116" s="22"/>
      <c r="DX116" s="22"/>
      <c r="DY116" s="22"/>
      <c r="DZ116" s="19"/>
      <c r="EA116" s="23"/>
      <c r="EB116" s="19"/>
      <c r="EC116" s="19"/>
      <c r="ED116" s="19"/>
      <c r="EE116" s="19"/>
      <c r="EF116" s="19"/>
      <c r="EG116" s="19"/>
      <c r="EH116" s="19"/>
      <c r="EI116" s="19"/>
      <c r="EJ116" s="19"/>
      <c r="EK116" s="19"/>
      <c r="EL116" s="19"/>
      <c r="EM116" s="19"/>
      <c r="EN116" s="19"/>
      <c r="EO116" s="19"/>
    </row>
    <row r="117" spans="1:145" s="36" customFormat="1">
      <c r="A117" s="36" t="s">
        <v>170</v>
      </c>
      <c r="B117" s="36">
        <v>5</v>
      </c>
      <c r="C117" s="36" t="s">
        <v>169</v>
      </c>
      <c r="D117" s="36" t="s">
        <v>178</v>
      </c>
      <c r="E117" s="36" t="s">
        <v>177</v>
      </c>
      <c r="G117" s="19">
        <v>36.299999999999997</v>
      </c>
      <c r="H117" s="19">
        <v>2.52</v>
      </c>
      <c r="I117" s="19">
        <v>8.7200000000000006</v>
      </c>
      <c r="J117" s="19">
        <v>11.384900000000002</v>
      </c>
      <c r="K117" s="19">
        <v>0.12</v>
      </c>
      <c r="L117" s="19">
        <v>10.19</v>
      </c>
      <c r="M117" s="19">
        <v>17.600000000000001</v>
      </c>
      <c r="N117" s="19">
        <v>0.95</v>
      </c>
      <c r="O117" s="19">
        <v>5.0599999999999996</v>
      </c>
      <c r="P117" s="19">
        <v>1.44</v>
      </c>
      <c r="Q117" s="19"/>
      <c r="R117" s="19">
        <v>4.4400000000000004</v>
      </c>
      <c r="S117" s="19">
        <f t="shared" ref="S117:S123" si="210">SUM(G117:R117)</f>
        <v>98.724900000000005</v>
      </c>
      <c r="U117" s="75">
        <v>0.71057099999999995</v>
      </c>
      <c r="V117" s="75">
        <v>0.51209099999999996</v>
      </c>
      <c r="W117" s="19"/>
      <c r="X117" s="19"/>
      <c r="Y117" s="19"/>
      <c r="Z117" s="19"/>
      <c r="AA117" s="19"/>
      <c r="AB117" s="22"/>
      <c r="AC117" s="22"/>
      <c r="AF117" s="19">
        <f t="shared" ref="AF117:AF123" si="211">(L117/40.31)/((L117/40.31)+(J117-(J117*0.15))*0.8998/71.85)</f>
        <v>0.67594570124488462</v>
      </c>
      <c r="AG117" s="20">
        <f>H117*5995</f>
        <v>15107.4</v>
      </c>
      <c r="AH117" s="20">
        <f>O117*8302</f>
        <v>42008.119999999995</v>
      </c>
      <c r="AI117" s="20">
        <f>P117*4364</f>
        <v>6284.16</v>
      </c>
      <c r="AJ117" s="19">
        <f t="shared" ref="AJ117:AJ123" si="212">N117+O117</f>
        <v>6.01</v>
      </c>
      <c r="AK117" s="19">
        <f t="shared" ref="AK117:AK123" si="213">O117/N117</f>
        <v>5.3263157894736839</v>
      </c>
      <c r="AL117" s="19">
        <f t="shared" ref="AL117:AL123" si="214">N117/O117</f>
        <v>0.18774703557312253</v>
      </c>
      <c r="AM117" s="19">
        <f>EK117/EG117</f>
        <v>2.0183486238532109</v>
      </c>
      <c r="AN117" s="19">
        <f t="shared" ref="AN117:AN130" si="215">O117/I117</f>
        <v>0.58027522935779807</v>
      </c>
      <c r="AO117" s="19">
        <f>(EL117/61.98+EM117/94.2)/(EG117/101.96)</f>
        <v>0.80729664238357002</v>
      </c>
      <c r="AP117" s="19">
        <f>1/AO117</f>
        <v>1.2387020427181104</v>
      </c>
      <c r="AQ117" s="19">
        <f>(EG117/101.96)/((EK117/56.08)+(EL117/61.98)+(EM117/94.2))</f>
        <v>0.22336932105547833</v>
      </c>
      <c r="AR117" s="20">
        <f>1000*(4*(EE117/60.08)-11*(EL117/61.98*2+EM117/94.2*2)-2*(EH117/159.69*2+EF117/79.87))</f>
        <v>582.86484342643598</v>
      </c>
      <c r="AS117" s="20">
        <f>1000*(6*(EK117/56.08)+2*(EJ117/40.3)+EG117/101.96*2)</f>
        <v>2714.9404800722032</v>
      </c>
      <c r="AT117" s="19"/>
      <c r="AU117" s="19">
        <f t="shared" ref="AU117:AU130" si="216">O117/G117</f>
        <v>0.1393939393939394</v>
      </c>
      <c r="AV117" s="19">
        <f t="shared" ref="AV117:AV130" si="217">(O117/94.2)/(I117/101.96)</f>
        <v>0.62807709538557421</v>
      </c>
      <c r="AW117" s="19"/>
      <c r="AX117" s="20">
        <v>142</v>
      </c>
      <c r="AY117" s="20">
        <v>1860</v>
      </c>
      <c r="AZ117" s="20">
        <v>1940</v>
      </c>
      <c r="BA117" s="22"/>
      <c r="BB117" s="22"/>
      <c r="BC117" s="22">
        <v>521</v>
      </c>
      <c r="BD117" s="22">
        <v>23.9</v>
      </c>
      <c r="BE117" s="22">
        <v>32.200000000000003</v>
      </c>
      <c r="BF117" s="22">
        <v>23.4</v>
      </c>
      <c r="BG117" s="22"/>
      <c r="BH117" s="22"/>
      <c r="BI117" s="36">
        <v>111</v>
      </c>
      <c r="BJ117" s="20">
        <v>1307</v>
      </c>
      <c r="BK117" s="20">
        <v>56.8</v>
      </c>
      <c r="BL117" s="22"/>
      <c r="BM117" s="22"/>
      <c r="BN117" s="20">
        <v>256</v>
      </c>
      <c r="BO117" s="20">
        <v>559</v>
      </c>
      <c r="BP117" s="20">
        <v>70.099999999999994</v>
      </c>
      <c r="BQ117" s="22">
        <v>292</v>
      </c>
      <c r="BR117" s="22">
        <v>59.2</v>
      </c>
      <c r="BS117" s="22">
        <v>11</v>
      </c>
      <c r="BT117" s="22">
        <v>46.4</v>
      </c>
      <c r="BU117" s="22">
        <v>5.4</v>
      </c>
      <c r="BV117" s="22">
        <v>26.4</v>
      </c>
      <c r="BW117" s="19">
        <v>4.04</v>
      </c>
      <c r="BX117" s="19">
        <v>10.4</v>
      </c>
      <c r="BY117" s="19">
        <v>1.2</v>
      </c>
      <c r="BZ117" s="22">
        <v>7.3</v>
      </c>
      <c r="CA117" s="19">
        <v>1</v>
      </c>
      <c r="CB117" s="20"/>
      <c r="CC117" s="20">
        <v>116</v>
      </c>
      <c r="CD117" s="22">
        <v>23.9</v>
      </c>
      <c r="CE117" s="22"/>
      <c r="CG117" s="22">
        <f>BN117/0.242</f>
        <v>1057.8512396694216</v>
      </c>
      <c r="CH117" s="22">
        <f>BO117/0.635</f>
        <v>880.3149606299213</v>
      </c>
      <c r="CI117" s="22">
        <f>BP117/0.0963</f>
        <v>727.93354101765317</v>
      </c>
      <c r="CJ117" s="22">
        <f>BQ117/0.48</f>
        <v>608.33333333333337</v>
      </c>
      <c r="CK117" s="22">
        <f>BR117/0.156</f>
        <v>379.4871794871795</v>
      </c>
      <c r="CL117" s="22">
        <f>BS117/0.0591</f>
        <v>186.12521150592218</v>
      </c>
      <c r="CM117" s="22">
        <f>BT117/0.212</f>
        <v>218.8679245283019</v>
      </c>
      <c r="CN117" s="22">
        <f>BU117/0.0376</f>
        <v>143.61702127659575</v>
      </c>
      <c r="CO117" s="22"/>
      <c r="CP117" s="22">
        <f>BW117/0.0585</f>
        <v>69.059829059829056</v>
      </c>
      <c r="CQ117" s="22">
        <f>BX117/0.163</f>
        <v>63.803680981595093</v>
      </c>
      <c r="CR117" s="22">
        <f>BY117/0.0256</f>
        <v>46.874999999999993</v>
      </c>
      <c r="CS117" s="22">
        <f>BZ117/0.166</f>
        <v>43.975903614457827</v>
      </c>
      <c r="CT117" s="22">
        <f>CA117/0.024</f>
        <v>41.666666666666664</v>
      </c>
      <c r="CU117" s="22">
        <f>AZ117/BK117</f>
        <v>34.154929577464792</v>
      </c>
      <c r="CV117" s="22">
        <f>AZ117/BN117</f>
        <v>7.578125</v>
      </c>
      <c r="CW117" s="22">
        <f>BN117/BK117</f>
        <v>4.507042253521127</v>
      </c>
      <c r="CX117" s="20">
        <f>AG117/BK117</f>
        <v>265.97535211267609</v>
      </c>
      <c r="CY117" s="22"/>
      <c r="CZ117" s="22">
        <f>BK117/CD117</f>
        <v>2.3765690376569037</v>
      </c>
      <c r="DA117" s="22">
        <f>AX117/BR117</f>
        <v>2.3986486486486487</v>
      </c>
      <c r="DB117" s="22">
        <f>BJ117/BK117</f>
        <v>23.010563380281692</v>
      </c>
      <c r="DC117" s="22">
        <f>AZ117/CC117</f>
        <v>16.724137931034484</v>
      </c>
      <c r="DD117" s="22"/>
      <c r="DE117" s="22"/>
      <c r="DF117" s="22">
        <f>CC117/BZ117</f>
        <v>15.890410958904109</v>
      </c>
      <c r="DG117" s="19">
        <f>BK117/BI117</f>
        <v>0.5117117117117117</v>
      </c>
      <c r="DH117" s="20">
        <f>AH117/BN117</f>
        <v>164.09421874999998</v>
      </c>
      <c r="DI117" s="19">
        <f>(BK117/0.46)/((O117/0.023)*(CD117/0.017))^0.5</f>
        <v>0.22202642894768426</v>
      </c>
      <c r="DJ117" s="22">
        <f>BN117/CA117</f>
        <v>256</v>
      </c>
      <c r="DK117" s="22">
        <f>CG117/CT117</f>
        <v>25.38842975206612</v>
      </c>
      <c r="DL117" s="22">
        <f>CG117/CK117</f>
        <v>2.7875809693991513</v>
      </c>
      <c r="DM117" s="22">
        <f>BN117/BZ117</f>
        <v>35.06849315068493</v>
      </c>
      <c r="DN117" s="76">
        <f>BL117/BQ117</f>
        <v>0</v>
      </c>
      <c r="DO117" s="22">
        <f>BR117/BZ117</f>
        <v>8.1095890410958908</v>
      </c>
      <c r="DP117" s="20">
        <f>AY117/BZ117</f>
        <v>254.79452054794521</v>
      </c>
      <c r="DQ117" s="22">
        <f>AY117/BQ117</f>
        <v>6.3698630136986303</v>
      </c>
      <c r="DR117" s="22">
        <f>AY117/(((BR117/0.195)*(BT117/0.259))^0.5)</f>
        <v>7.9755435038017621</v>
      </c>
      <c r="DS117" s="19">
        <f>(BS117/0.074)/(((BR117/0.195)*(BT117/0.259))^0.5)</f>
        <v>0.63739449681647331</v>
      </c>
      <c r="DT117" s="23">
        <f>1/AY117</f>
        <v>5.3763440860215054E-4</v>
      </c>
      <c r="DU117" s="22">
        <f>BJ117/BI117</f>
        <v>11.774774774774775</v>
      </c>
      <c r="DV117" s="22"/>
      <c r="DW117" s="22">
        <f>1.74+LOG(BK117/BI117)-1.92*LOG(BJ117/BI117)</f>
        <v>-0.60720365195990089</v>
      </c>
      <c r="DX117" s="22">
        <f>BK117*100/BJ117</f>
        <v>4.345830145371079</v>
      </c>
      <c r="DY117" s="22">
        <f>CC117*100/BJ117</f>
        <v>8.8752869166029082</v>
      </c>
      <c r="DZ117" s="19">
        <f>EK117*100/AY117</f>
        <v>1.0035928967838805</v>
      </c>
      <c r="EA117" s="23"/>
      <c r="EB117" s="19">
        <f>CC117/BK117</f>
        <v>2.0422535211267605</v>
      </c>
      <c r="EC117" s="19"/>
      <c r="ED117" s="19"/>
      <c r="EE117" s="19">
        <f t="shared" ref="EE117:EN118" si="218">100*G117/($G117+$H117+$I117+$J117+$K117+$L117+$M117+$N117+$O117+$P117)</f>
        <v>38.500332502871608</v>
      </c>
      <c r="EF117" s="19">
        <f t="shared" si="218"/>
        <v>2.6727503555712526</v>
      </c>
      <c r="EG117" s="19">
        <f t="shared" si="218"/>
        <v>9.2485647224529064</v>
      </c>
      <c r="EH117" s="19">
        <f t="shared" si="218"/>
        <v>12.074998223469507</v>
      </c>
      <c r="EI117" s="19">
        <f t="shared" si="218"/>
        <v>0.12727382645577393</v>
      </c>
      <c r="EJ117" s="19">
        <f t="shared" si="218"/>
        <v>10.807669096536136</v>
      </c>
      <c r="EK117" s="19">
        <f t="shared" si="218"/>
        <v>18.666827880180179</v>
      </c>
      <c r="EL117" s="19">
        <f t="shared" si="218"/>
        <v>1.0075844594415435</v>
      </c>
      <c r="EM117" s="19">
        <f t="shared" si="218"/>
        <v>5.3667130155517997</v>
      </c>
      <c r="EN117" s="19">
        <f t="shared" si="218"/>
        <v>1.5272859174692872</v>
      </c>
      <c r="EO117" s="19">
        <f>SUM(EE117:EN117)</f>
        <v>99.999999999999986</v>
      </c>
    </row>
    <row r="118" spans="1:145" s="36" customFormat="1">
      <c r="A118" s="36" t="s">
        <v>170</v>
      </c>
      <c r="B118" s="36">
        <v>5</v>
      </c>
      <c r="C118" s="36" t="s">
        <v>169</v>
      </c>
      <c r="D118" s="36" t="s">
        <v>270</v>
      </c>
      <c r="E118" s="36" t="s">
        <v>177</v>
      </c>
      <c r="G118" s="19">
        <v>38.11</v>
      </c>
      <c r="H118" s="19">
        <v>2.2400000000000002</v>
      </c>
      <c r="I118" s="19">
        <v>9.5299999999999994</v>
      </c>
      <c r="J118" s="19">
        <v>11.758400000000002</v>
      </c>
      <c r="K118" s="19">
        <v>0.16</v>
      </c>
      <c r="L118" s="19">
        <v>8.5500000000000007</v>
      </c>
      <c r="M118" s="19">
        <v>17.670000000000002</v>
      </c>
      <c r="N118" s="19">
        <v>1.43</v>
      </c>
      <c r="O118" s="19">
        <v>5.93</v>
      </c>
      <c r="P118" s="19">
        <v>1.22</v>
      </c>
      <c r="Q118" s="19">
        <v>2.76</v>
      </c>
      <c r="R118" s="19">
        <v>1.32</v>
      </c>
      <c r="S118" s="19">
        <f t="shared" si="210"/>
        <v>100.6784</v>
      </c>
      <c r="U118" s="75">
        <v>0.71057099999999995</v>
      </c>
      <c r="V118" s="75">
        <v>0.51209099999999996</v>
      </c>
      <c r="W118" s="19"/>
      <c r="X118" s="19"/>
      <c r="Y118" s="19"/>
      <c r="Z118" s="19"/>
      <c r="AA118" s="19"/>
      <c r="AB118" s="22"/>
      <c r="AC118" s="22"/>
      <c r="AF118" s="19">
        <f t="shared" si="211"/>
        <v>0.62888726600269507</v>
      </c>
      <c r="AG118" s="20">
        <f>H118*5995</f>
        <v>13428.800000000001</v>
      </c>
      <c r="AH118" s="20">
        <f>O118*8302</f>
        <v>49230.86</v>
      </c>
      <c r="AI118" s="20">
        <f>P118*4364</f>
        <v>5324.08</v>
      </c>
      <c r="AJ118" s="19">
        <f t="shared" si="212"/>
        <v>7.3599999999999994</v>
      </c>
      <c r="AK118" s="19">
        <f t="shared" si="213"/>
        <v>4.1468531468531467</v>
      </c>
      <c r="AL118" s="19">
        <f t="shared" si="214"/>
        <v>0.24114671163575041</v>
      </c>
      <c r="AM118" s="19">
        <f>EK118/EG118</f>
        <v>1.8541448058761807</v>
      </c>
      <c r="AN118" s="19">
        <f t="shared" si="215"/>
        <v>0.6222455403987408</v>
      </c>
      <c r="AO118" s="19">
        <f>(EL118/61.98+EM118/94.2)/(EG118/101.96)</f>
        <v>0.92034816057201951</v>
      </c>
      <c r="AP118" s="19">
        <f>1/AO118</f>
        <v>1.0865453345160976</v>
      </c>
      <c r="AQ118" s="19">
        <f>(EG118/101.96)/((EK118/56.08)+(EL118/61.98)+(EM118/94.2))</f>
        <v>0.23302417120619373</v>
      </c>
      <c r="AR118" s="20">
        <f>1000*(4*(EE118/60.08)-11*(EL118/61.98*2+EM118/94.2*2)-2*(EH118/159.69*2+EF118/79.87))</f>
        <v>304.51129546699536</v>
      </c>
      <c r="AS118" s="20">
        <f>1000*(6*(EK118/56.08)+2*(EJ118/40.3)+EG118/101.96*2)</f>
        <v>2589.8640384196174</v>
      </c>
      <c r="AT118" s="19"/>
      <c r="AU118" s="19">
        <f t="shared" si="216"/>
        <v>0.15560220414589346</v>
      </c>
      <c r="AV118" s="19">
        <f t="shared" si="217"/>
        <v>0.67350483332330802</v>
      </c>
      <c r="AW118" s="19"/>
      <c r="AX118" s="20">
        <v>210.2</v>
      </c>
      <c r="AY118" s="20">
        <v>2169</v>
      </c>
      <c r="AZ118" s="20">
        <v>2009.5</v>
      </c>
      <c r="BA118" s="22"/>
      <c r="BB118" s="22">
        <v>15.8</v>
      </c>
      <c r="BC118" s="22">
        <v>436.7</v>
      </c>
      <c r="BD118" s="22">
        <v>57.2</v>
      </c>
      <c r="BE118" s="22">
        <v>34.299999999999997</v>
      </c>
      <c r="BF118" s="22">
        <v>31</v>
      </c>
      <c r="BG118" s="22">
        <v>109.6</v>
      </c>
      <c r="BH118" s="22">
        <v>90.1</v>
      </c>
      <c r="BI118" s="36">
        <v>101.8</v>
      </c>
      <c r="BJ118" s="20">
        <v>1085.8</v>
      </c>
      <c r="BK118" s="20">
        <v>54.3</v>
      </c>
      <c r="BL118" s="22"/>
      <c r="BM118" s="22"/>
      <c r="BN118" s="20">
        <v>249.7</v>
      </c>
      <c r="BO118" s="20">
        <v>566.29999999999995</v>
      </c>
      <c r="BP118" s="20"/>
      <c r="BQ118" s="22">
        <v>285.10000000000002</v>
      </c>
      <c r="BR118" s="22">
        <v>53.1</v>
      </c>
      <c r="BS118" s="22">
        <v>9</v>
      </c>
      <c r="BT118" s="22">
        <v>40.299999999999997</v>
      </c>
      <c r="BU118" s="22"/>
      <c r="BV118" s="22">
        <v>27.4</v>
      </c>
      <c r="BW118" s="19"/>
      <c r="BX118" s="19">
        <v>11.6</v>
      </c>
      <c r="BY118" s="19"/>
      <c r="BZ118" s="22">
        <v>8.6999999999999993</v>
      </c>
      <c r="CA118" s="19">
        <v>1.5</v>
      </c>
      <c r="CB118" s="20">
        <v>56.1</v>
      </c>
      <c r="CC118" s="20">
        <v>136.1</v>
      </c>
      <c r="CD118" s="22"/>
      <c r="CE118" s="22">
        <v>21.1</v>
      </c>
      <c r="CG118" s="22">
        <f>BN118/0.242</f>
        <v>1031.8181818181818</v>
      </c>
      <c r="CH118" s="22">
        <f>BO118/0.635</f>
        <v>891.81102362204717</v>
      </c>
      <c r="CI118" s="22">
        <f>BP118/0.0963</f>
        <v>0</v>
      </c>
      <c r="CJ118" s="22">
        <f>BQ118/0.48</f>
        <v>593.95833333333337</v>
      </c>
      <c r="CK118" s="22">
        <f>BR118/0.156</f>
        <v>340.38461538461542</v>
      </c>
      <c r="CL118" s="22">
        <f>BS118/0.0591</f>
        <v>152.28426395939087</v>
      </c>
      <c r="CM118" s="22">
        <f>BT118/0.212</f>
        <v>190.09433962264151</v>
      </c>
      <c r="CN118" s="22"/>
      <c r="CO118" s="22"/>
      <c r="CP118" s="22"/>
      <c r="CQ118" s="22">
        <f>BX118/0.163</f>
        <v>71.165644171779135</v>
      </c>
      <c r="CR118" s="22">
        <f>BY118/0.0256</f>
        <v>0</v>
      </c>
      <c r="CS118" s="22">
        <f>BZ118/0.166</f>
        <v>52.409638554216862</v>
      </c>
      <c r="CT118" s="22">
        <f>CA118/0.024</f>
        <v>62.5</v>
      </c>
      <c r="CU118" s="22">
        <f>AZ118/BK118</f>
        <v>37.007366482504608</v>
      </c>
      <c r="CV118" s="22">
        <f>AZ118/BN118</f>
        <v>8.0476571886263528</v>
      </c>
      <c r="CW118" s="22">
        <f>BN118/BK118</f>
        <v>4.5985267034990791</v>
      </c>
      <c r="CX118" s="20">
        <f>AG118/BK118</f>
        <v>247.30755064456724</v>
      </c>
      <c r="CY118" s="22">
        <f>BO118/CB118</f>
        <v>10.094474153297682</v>
      </c>
      <c r="CZ118" s="22"/>
      <c r="DA118" s="22">
        <f>AX118/BR118</f>
        <v>3.9585687382297547</v>
      </c>
      <c r="DB118" s="22">
        <f>BJ118/BK118</f>
        <v>19.9963167587477</v>
      </c>
      <c r="DC118" s="22">
        <f>AZ118/CC118</f>
        <v>14.764878765613521</v>
      </c>
      <c r="DD118" s="22"/>
      <c r="DE118" s="22"/>
      <c r="DF118" s="22">
        <f>CC118/BZ118</f>
        <v>15.64367816091954</v>
      </c>
      <c r="DG118" s="19">
        <f>BK118/BI118</f>
        <v>0.53339882121807469</v>
      </c>
      <c r="DH118" s="20">
        <f>AH118/BN118</f>
        <v>197.16003203844613</v>
      </c>
      <c r="DI118" s="19"/>
      <c r="DJ118" s="22">
        <f>BN118/CA118</f>
        <v>166.46666666666667</v>
      </c>
      <c r="DK118" s="22">
        <f>CG118/CT118</f>
        <v>16.509090909090908</v>
      </c>
      <c r="DL118" s="22">
        <f>CG118/CK118</f>
        <v>3.0313302516692344</v>
      </c>
      <c r="DM118" s="22">
        <f>BN118/BZ118</f>
        <v>28.701149425287358</v>
      </c>
      <c r="DN118" s="76"/>
      <c r="DO118" s="22">
        <f>BR118/BZ118</f>
        <v>6.1034482758620694</v>
      </c>
      <c r="DP118" s="20">
        <f>AY118/BZ118</f>
        <v>249.31034482758622</v>
      </c>
      <c r="DQ118" s="22">
        <f>AY118/BQ118</f>
        <v>7.6078568923184839</v>
      </c>
      <c r="DR118" s="22">
        <f>AY118/(((BR118/0.195)*(BT118/0.259))^0.5)</f>
        <v>10.53724204566465</v>
      </c>
      <c r="DS118" s="19">
        <f>(BS118/0.074)/(((BR118/0.195)*(BT118/0.259))^0.5)</f>
        <v>0.59085129783921997</v>
      </c>
      <c r="DT118" s="23">
        <f>1/AY118</f>
        <v>4.6104195481788842E-4</v>
      </c>
      <c r="DU118" s="22">
        <f>BJ118/BI118</f>
        <v>10.666011787819253</v>
      </c>
      <c r="DV118" s="22"/>
      <c r="DW118" s="22">
        <f>1.74+LOG(BK118/BI118)-1.92*LOG(BJ118/BI118)</f>
        <v>-0.50671190230422125</v>
      </c>
      <c r="DX118" s="22">
        <f>BK118*100/BJ118</f>
        <v>5.000920979922638</v>
      </c>
      <c r="DY118" s="22">
        <f>CC118*100/BJ118</f>
        <v>12.534536747098914</v>
      </c>
      <c r="DZ118" s="19">
        <f>EK118*100/AY118</f>
        <v>0.84334847592010731</v>
      </c>
      <c r="EA118" s="23"/>
      <c r="EB118" s="19">
        <f>CC118/BK118</f>
        <v>2.5064456721915285</v>
      </c>
      <c r="EC118" s="19"/>
      <c r="ED118" s="19"/>
      <c r="EE118" s="19">
        <f t="shared" si="218"/>
        <v>39.451999204955776</v>
      </c>
      <c r="EF118" s="19">
        <f t="shared" si="218"/>
        <v>2.3188789876436879</v>
      </c>
      <c r="EG118" s="19">
        <f t="shared" si="218"/>
        <v>9.8655878358233675</v>
      </c>
      <c r="EH118" s="19">
        <f t="shared" si="218"/>
        <v>12.172458342995331</v>
      </c>
      <c r="EI118" s="19">
        <f t="shared" si="218"/>
        <v>0.16563421340312054</v>
      </c>
      <c r="EJ118" s="19">
        <f t="shared" si="218"/>
        <v>8.8510782787292559</v>
      </c>
      <c r="EK118" s="19">
        <f t="shared" si="218"/>
        <v>18.292228442707128</v>
      </c>
      <c r="EL118" s="19">
        <f t="shared" si="218"/>
        <v>1.4803557822903899</v>
      </c>
      <c r="EM118" s="19">
        <f t="shared" si="218"/>
        <v>6.1388180342531555</v>
      </c>
      <c r="EN118" s="19">
        <f t="shared" si="218"/>
        <v>1.2629608771987941</v>
      </c>
      <c r="EO118" s="19">
        <f>SUM(EE118:EN118)</f>
        <v>100</v>
      </c>
    </row>
    <row r="119" spans="1:145" s="36" customFormat="1">
      <c r="A119" s="36" t="s">
        <v>170</v>
      </c>
      <c r="B119" s="36">
        <v>5</v>
      </c>
      <c r="C119" s="36" t="s">
        <v>176</v>
      </c>
      <c r="D119" s="36" t="s">
        <v>175</v>
      </c>
      <c r="E119" s="36" t="s">
        <v>167</v>
      </c>
      <c r="G119" s="19">
        <v>37.42</v>
      </c>
      <c r="H119" s="19">
        <v>2</v>
      </c>
      <c r="I119" s="19">
        <v>11.55</v>
      </c>
      <c r="J119" s="19">
        <v>12.06</v>
      </c>
      <c r="K119" s="19">
        <v>0.16</v>
      </c>
      <c r="L119" s="19">
        <v>7.19</v>
      </c>
      <c r="M119" s="19">
        <v>16.25</v>
      </c>
      <c r="N119" s="19">
        <v>1.4</v>
      </c>
      <c r="O119" s="19">
        <v>8.11</v>
      </c>
      <c r="P119" s="19">
        <v>0.82</v>
      </c>
      <c r="Q119" s="19">
        <v>1.28</v>
      </c>
      <c r="R119" s="19">
        <v>1.96</v>
      </c>
      <c r="S119" s="19">
        <f t="shared" si="210"/>
        <v>100.19999999999999</v>
      </c>
      <c r="U119" s="75"/>
      <c r="W119" s="19"/>
      <c r="X119" s="19"/>
      <c r="Y119" s="19"/>
      <c r="Z119" s="19"/>
      <c r="AA119" s="19"/>
      <c r="AB119" s="22"/>
      <c r="AC119" s="22"/>
      <c r="AF119" s="19">
        <f t="shared" si="211"/>
        <v>0.58148676757628703</v>
      </c>
      <c r="AG119" s="20"/>
      <c r="AH119" s="20"/>
      <c r="AI119" s="20"/>
      <c r="AJ119" s="19">
        <f t="shared" si="212"/>
        <v>9.51</v>
      </c>
      <c r="AK119" s="19">
        <f t="shared" si="213"/>
        <v>5.7928571428571427</v>
      </c>
      <c r="AL119" s="19">
        <f t="shared" si="214"/>
        <v>0.17262638717632553</v>
      </c>
      <c r="AM119" s="19"/>
      <c r="AN119" s="19">
        <f t="shared" si="215"/>
        <v>0.7021645021645021</v>
      </c>
      <c r="AO119" s="19"/>
      <c r="AP119" s="19"/>
      <c r="AQ119" s="19"/>
      <c r="AR119" s="20"/>
      <c r="AS119" s="20"/>
      <c r="AU119" s="19">
        <f t="shared" si="216"/>
        <v>0.21672902191341525</v>
      </c>
      <c r="AV119" s="19">
        <f t="shared" si="217"/>
        <v>0.76000735287359478</v>
      </c>
      <c r="AX119" s="20"/>
      <c r="AY119" s="20"/>
      <c r="AZ119" s="20"/>
      <c r="BA119" s="22"/>
      <c r="BB119" s="22"/>
      <c r="BC119" s="22"/>
      <c r="BD119" s="22"/>
      <c r="BE119" s="22"/>
      <c r="BF119" s="22"/>
      <c r="BG119" s="22"/>
      <c r="BH119" s="22"/>
      <c r="BJ119" s="20"/>
      <c r="BK119" s="20"/>
      <c r="BL119" s="22"/>
      <c r="BM119" s="22"/>
      <c r="BN119" s="20"/>
      <c r="BO119" s="20"/>
      <c r="BP119" s="20"/>
      <c r="BQ119" s="22"/>
      <c r="BR119" s="22"/>
      <c r="BS119" s="22"/>
      <c r="BT119" s="22"/>
      <c r="BU119" s="22"/>
      <c r="BV119" s="22"/>
      <c r="BW119" s="19"/>
      <c r="BX119" s="19"/>
      <c r="BY119" s="19"/>
      <c r="BZ119" s="22"/>
      <c r="CA119" s="19"/>
      <c r="CB119" s="20"/>
      <c r="CC119" s="20"/>
      <c r="CD119" s="22"/>
      <c r="CE119" s="22"/>
      <c r="CG119" s="22"/>
      <c r="CH119" s="22"/>
      <c r="CI119" s="22"/>
      <c r="CJ119" s="22"/>
      <c r="CK119" s="22"/>
      <c r="CL119" s="22"/>
      <c r="CM119" s="22"/>
      <c r="CN119" s="22"/>
      <c r="CO119" s="22"/>
      <c r="CP119" s="22"/>
      <c r="CQ119" s="22"/>
      <c r="CR119" s="22"/>
      <c r="CS119" s="22"/>
      <c r="CT119" s="22"/>
      <c r="CU119" s="22"/>
      <c r="CV119" s="22"/>
      <c r="CW119" s="22"/>
      <c r="CX119" s="20"/>
      <c r="CY119" s="22"/>
      <c r="CZ119" s="22"/>
      <c r="DA119" s="22"/>
      <c r="DB119" s="22"/>
      <c r="DC119" s="22"/>
      <c r="DD119" s="22"/>
      <c r="DE119" s="22"/>
      <c r="DF119" s="22"/>
      <c r="DG119" s="19"/>
      <c r="DH119" s="20"/>
      <c r="DI119" s="19"/>
      <c r="DJ119" s="22"/>
      <c r="DK119" s="22"/>
      <c r="DL119" s="22"/>
      <c r="DM119" s="22"/>
      <c r="DN119" s="76"/>
      <c r="DO119" s="22"/>
      <c r="DP119" s="20"/>
      <c r="DQ119" s="22"/>
      <c r="DR119" s="22"/>
      <c r="DS119" s="19"/>
      <c r="DT119" s="23"/>
      <c r="DU119" s="22"/>
      <c r="DV119" s="22"/>
      <c r="DW119" s="22"/>
      <c r="DX119" s="22"/>
      <c r="DY119" s="22"/>
      <c r="DZ119" s="19"/>
      <c r="EA119" s="23"/>
      <c r="EB119" s="19"/>
      <c r="EC119" s="19"/>
      <c r="ED119" s="19"/>
      <c r="EE119" s="19"/>
      <c r="EF119" s="19"/>
      <c r="EG119" s="19"/>
      <c r="EH119" s="19"/>
      <c r="EI119" s="19"/>
      <c r="EJ119" s="19"/>
      <c r="EK119" s="19"/>
      <c r="EL119" s="19"/>
      <c r="EM119" s="19"/>
      <c r="EN119" s="19"/>
      <c r="EO119" s="19"/>
    </row>
    <row r="120" spans="1:145" s="36" customFormat="1">
      <c r="A120" s="36" t="s">
        <v>170</v>
      </c>
      <c r="B120" s="36">
        <v>5</v>
      </c>
      <c r="C120" s="36" t="s">
        <v>176</v>
      </c>
      <c r="D120" s="36" t="s">
        <v>175</v>
      </c>
      <c r="E120" s="36" t="s">
        <v>174</v>
      </c>
      <c r="G120" s="19">
        <v>36.29</v>
      </c>
      <c r="H120" s="19">
        <v>3.27</v>
      </c>
      <c r="I120" s="19">
        <v>9.19</v>
      </c>
      <c r="J120" s="19">
        <v>16.760000000000002</v>
      </c>
      <c r="K120" s="19">
        <v>0.28999999999999998</v>
      </c>
      <c r="L120" s="19">
        <v>6.44</v>
      </c>
      <c r="M120" s="19">
        <v>18.13</v>
      </c>
      <c r="N120" s="19">
        <v>2.31</v>
      </c>
      <c r="O120" s="19">
        <v>4.92</v>
      </c>
      <c r="P120" s="19">
        <v>0.72</v>
      </c>
      <c r="Q120" s="19">
        <v>0.89</v>
      </c>
      <c r="R120" s="19">
        <v>1.1499999999999999</v>
      </c>
      <c r="S120" s="19">
        <f t="shared" si="210"/>
        <v>100.36000000000001</v>
      </c>
      <c r="U120" s="75"/>
      <c r="W120" s="19"/>
      <c r="X120" s="19"/>
      <c r="Y120" s="19"/>
      <c r="Z120" s="19"/>
      <c r="AA120" s="19"/>
      <c r="AB120" s="22"/>
      <c r="AC120" s="22"/>
      <c r="AF120" s="19">
        <f t="shared" si="211"/>
        <v>0.47243202948327417</v>
      </c>
      <c r="AG120" s="20"/>
      <c r="AH120" s="20"/>
      <c r="AI120" s="20"/>
      <c r="AJ120" s="19">
        <f t="shared" si="212"/>
        <v>7.23</v>
      </c>
      <c r="AK120" s="19">
        <f t="shared" si="213"/>
        <v>2.1298701298701297</v>
      </c>
      <c r="AL120" s="19">
        <f t="shared" si="214"/>
        <v>0.46951219512195125</v>
      </c>
      <c r="AM120" s="19"/>
      <c r="AN120" s="19">
        <f t="shared" si="215"/>
        <v>0.53536452665941248</v>
      </c>
      <c r="AO120" s="19"/>
      <c r="AP120" s="19"/>
      <c r="AQ120" s="19"/>
      <c r="AR120" s="20"/>
      <c r="AS120" s="20"/>
      <c r="AU120" s="19">
        <f t="shared" si="216"/>
        <v>0.1355745384403417</v>
      </c>
      <c r="AV120" s="19">
        <f t="shared" si="217"/>
        <v>0.57946674244366958</v>
      </c>
      <c r="AX120" s="20"/>
      <c r="AY120" s="20"/>
      <c r="AZ120" s="20"/>
      <c r="BA120" s="22"/>
      <c r="BB120" s="22"/>
      <c r="BC120" s="22"/>
      <c r="BD120" s="22"/>
      <c r="BE120" s="22"/>
      <c r="BF120" s="22"/>
      <c r="BG120" s="22"/>
      <c r="BH120" s="22"/>
      <c r="BJ120" s="20"/>
      <c r="BK120" s="20"/>
      <c r="BL120" s="22"/>
      <c r="BM120" s="22"/>
      <c r="BN120" s="20"/>
      <c r="BO120" s="20"/>
      <c r="BP120" s="20"/>
      <c r="BQ120" s="22"/>
      <c r="BR120" s="22"/>
      <c r="BS120" s="22"/>
      <c r="BT120" s="22"/>
      <c r="BU120" s="22"/>
      <c r="BV120" s="22"/>
      <c r="BW120" s="19"/>
      <c r="BX120" s="19"/>
      <c r="BY120" s="19"/>
      <c r="BZ120" s="22"/>
      <c r="CA120" s="19"/>
      <c r="CB120" s="20"/>
      <c r="CC120" s="20"/>
      <c r="CD120" s="22"/>
      <c r="CE120" s="22"/>
      <c r="CG120" s="22"/>
      <c r="CH120" s="22"/>
      <c r="CI120" s="22"/>
      <c r="CJ120" s="22"/>
      <c r="CK120" s="22"/>
      <c r="CL120" s="22"/>
      <c r="CM120" s="22"/>
      <c r="CN120" s="22"/>
      <c r="CO120" s="22"/>
      <c r="CP120" s="22"/>
      <c r="CQ120" s="22"/>
      <c r="CR120" s="22"/>
      <c r="CS120" s="22"/>
      <c r="CT120" s="22"/>
      <c r="CU120" s="22"/>
      <c r="CV120" s="22"/>
      <c r="CW120" s="22"/>
      <c r="CX120" s="20"/>
      <c r="CY120" s="22"/>
      <c r="CZ120" s="22"/>
      <c r="DA120" s="22"/>
      <c r="DB120" s="22"/>
      <c r="DC120" s="22"/>
      <c r="DD120" s="22"/>
      <c r="DE120" s="22"/>
      <c r="DF120" s="22"/>
      <c r="DG120" s="19"/>
      <c r="DH120" s="20"/>
      <c r="DI120" s="19"/>
      <c r="DJ120" s="22"/>
      <c r="DK120" s="22"/>
      <c r="DL120" s="22"/>
      <c r="DM120" s="22"/>
      <c r="DN120" s="76"/>
      <c r="DO120" s="22"/>
      <c r="DP120" s="20"/>
      <c r="DQ120" s="22"/>
      <c r="DR120" s="22"/>
      <c r="DS120" s="19"/>
      <c r="DT120" s="23"/>
      <c r="DU120" s="22"/>
      <c r="DV120" s="22"/>
      <c r="DW120" s="22"/>
      <c r="DX120" s="22"/>
      <c r="DY120" s="22"/>
      <c r="DZ120" s="19"/>
      <c r="EA120" s="23"/>
      <c r="EB120" s="19"/>
      <c r="EC120" s="19"/>
      <c r="ED120" s="19"/>
      <c r="EE120" s="19"/>
      <c r="EF120" s="19"/>
      <c r="EG120" s="19"/>
      <c r="EH120" s="19"/>
      <c r="EI120" s="19"/>
      <c r="EJ120" s="19"/>
      <c r="EK120" s="19"/>
      <c r="EL120" s="19"/>
      <c r="EM120" s="19"/>
      <c r="EN120" s="19"/>
      <c r="EO120" s="19"/>
    </row>
    <row r="121" spans="1:145" s="36" customFormat="1">
      <c r="A121" s="36" t="s">
        <v>170</v>
      </c>
      <c r="B121" s="36">
        <v>5</v>
      </c>
      <c r="C121" s="36" t="s">
        <v>163</v>
      </c>
      <c r="D121" s="36" t="s">
        <v>173</v>
      </c>
      <c r="E121" s="36" t="s">
        <v>172</v>
      </c>
      <c r="G121" s="19">
        <v>37.64</v>
      </c>
      <c r="H121" s="19">
        <v>2.68</v>
      </c>
      <c r="I121" s="19">
        <v>8.18</v>
      </c>
      <c r="J121" s="19">
        <v>15.71</v>
      </c>
      <c r="K121" s="19">
        <v>0.24</v>
      </c>
      <c r="L121" s="19">
        <v>7.04</v>
      </c>
      <c r="M121" s="19">
        <v>17.82</v>
      </c>
      <c r="N121" s="19">
        <v>2.17</v>
      </c>
      <c r="O121" s="19">
        <v>5.43</v>
      </c>
      <c r="P121" s="19">
        <v>1.64</v>
      </c>
      <c r="Q121" s="19">
        <v>2.0499999999999998</v>
      </c>
      <c r="R121" s="19"/>
      <c r="S121" s="19">
        <f t="shared" si="210"/>
        <v>100.6</v>
      </c>
      <c r="U121" s="75"/>
      <c r="W121" s="19"/>
      <c r="X121" s="19"/>
      <c r="Y121" s="19"/>
      <c r="Z121" s="19"/>
      <c r="AA121" s="19"/>
      <c r="AB121" s="22"/>
      <c r="AC121" s="22"/>
      <c r="AF121" s="19">
        <f t="shared" si="211"/>
        <v>0.51084665938262619</v>
      </c>
      <c r="AG121" s="20">
        <f>H121*5995</f>
        <v>16066.6</v>
      </c>
      <c r="AH121" s="20">
        <f>O121*8302</f>
        <v>45079.86</v>
      </c>
      <c r="AI121" s="20"/>
      <c r="AJ121" s="19">
        <f t="shared" si="212"/>
        <v>7.6</v>
      </c>
      <c r="AK121" s="19">
        <f t="shared" si="213"/>
        <v>2.5023041474654377</v>
      </c>
      <c r="AL121" s="19">
        <f t="shared" si="214"/>
        <v>0.39963167587476983</v>
      </c>
      <c r="AM121" s="19"/>
      <c r="AN121" s="19">
        <f t="shared" si="215"/>
        <v>0.66381418092909539</v>
      </c>
      <c r="AO121" s="19"/>
      <c r="AP121" s="19"/>
      <c r="AQ121" s="19"/>
      <c r="AR121" s="20"/>
      <c r="AS121" s="20"/>
      <c r="AU121" s="19">
        <f t="shared" si="216"/>
        <v>0.14426142401700318</v>
      </c>
      <c r="AV121" s="19">
        <f t="shared" si="217"/>
        <v>0.71849781196953877</v>
      </c>
      <c r="AX121" s="20"/>
      <c r="AY121" s="20"/>
      <c r="AZ121" s="20"/>
      <c r="BA121" s="22"/>
      <c r="BB121" s="22"/>
      <c r="BC121" s="22"/>
      <c r="BD121" s="22"/>
      <c r="BE121" s="22"/>
      <c r="BF121" s="22"/>
      <c r="BG121" s="22"/>
      <c r="BH121" s="22"/>
      <c r="BJ121" s="20"/>
      <c r="BK121" s="20"/>
      <c r="BL121" s="22"/>
      <c r="BM121" s="22"/>
      <c r="BN121" s="20"/>
      <c r="BO121" s="20"/>
      <c r="BP121" s="20"/>
      <c r="BQ121" s="22"/>
      <c r="BR121" s="22"/>
      <c r="BS121" s="22"/>
      <c r="BT121" s="22"/>
      <c r="BU121" s="22"/>
      <c r="BV121" s="22"/>
      <c r="BW121" s="19"/>
      <c r="BX121" s="19"/>
      <c r="BY121" s="19"/>
      <c r="BZ121" s="22"/>
      <c r="CA121" s="19"/>
      <c r="CB121" s="20"/>
      <c r="CC121" s="20"/>
      <c r="CD121" s="22"/>
      <c r="CE121" s="22"/>
      <c r="CG121" s="22"/>
      <c r="CH121" s="22"/>
      <c r="CI121" s="22"/>
      <c r="CJ121" s="22"/>
      <c r="CK121" s="22"/>
      <c r="CL121" s="22"/>
      <c r="CM121" s="22"/>
      <c r="CN121" s="22"/>
      <c r="CO121" s="22"/>
      <c r="CP121" s="22"/>
      <c r="CQ121" s="22"/>
      <c r="CR121" s="22"/>
      <c r="CS121" s="22"/>
      <c r="CT121" s="22"/>
      <c r="CU121" s="22"/>
      <c r="CV121" s="22"/>
      <c r="CW121" s="22"/>
      <c r="CX121" s="20"/>
      <c r="CY121" s="22"/>
      <c r="CZ121" s="22"/>
      <c r="DA121" s="22"/>
      <c r="DB121" s="22"/>
      <c r="DC121" s="22"/>
      <c r="DD121" s="22"/>
      <c r="DE121" s="22"/>
      <c r="DF121" s="22"/>
      <c r="DG121" s="19"/>
      <c r="DH121" s="20"/>
      <c r="DI121" s="19"/>
      <c r="DJ121" s="22"/>
      <c r="DK121" s="22"/>
      <c r="DL121" s="22"/>
      <c r="DM121" s="22"/>
      <c r="DN121" s="76"/>
      <c r="DO121" s="22"/>
      <c r="DP121" s="20"/>
      <c r="DQ121" s="22"/>
      <c r="DR121" s="22"/>
      <c r="DS121" s="19"/>
      <c r="DT121" s="23"/>
      <c r="DU121" s="22"/>
      <c r="DV121" s="22"/>
      <c r="DW121" s="22"/>
      <c r="DX121" s="22"/>
      <c r="DY121" s="22"/>
      <c r="DZ121" s="19"/>
      <c r="EA121" s="23"/>
      <c r="EB121" s="19"/>
      <c r="EC121" s="19"/>
      <c r="ED121" s="19"/>
      <c r="EE121" s="19"/>
      <c r="EF121" s="19"/>
      <c r="EG121" s="19"/>
      <c r="EH121" s="19"/>
      <c r="EI121" s="19"/>
      <c r="EJ121" s="19"/>
      <c r="EK121" s="19"/>
      <c r="EL121" s="19"/>
      <c r="EM121" s="19"/>
      <c r="EN121" s="19"/>
      <c r="EO121" s="19"/>
    </row>
    <row r="122" spans="1:145" s="36" customFormat="1">
      <c r="A122" s="36" t="s">
        <v>170</v>
      </c>
      <c r="B122" s="36">
        <v>5</v>
      </c>
      <c r="C122" s="36" t="s">
        <v>163</v>
      </c>
      <c r="D122" s="36" t="s">
        <v>171</v>
      </c>
      <c r="E122" s="36" t="s">
        <v>167</v>
      </c>
      <c r="G122" s="19">
        <v>37.9</v>
      </c>
      <c r="H122" s="19">
        <v>0.79</v>
      </c>
      <c r="I122" s="19">
        <v>9.16</v>
      </c>
      <c r="J122" s="19">
        <v>15.52</v>
      </c>
      <c r="K122" s="19">
        <v>0.24</v>
      </c>
      <c r="L122" s="19">
        <v>7.1</v>
      </c>
      <c r="M122" s="19">
        <v>17.739999999999998</v>
      </c>
      <c r="N122" s="19">
        <v>2.04</v>
      </c>
      <c r="O122" s="19">
        <v>5.45</v>
      </c>
      <c r="P122" s="19">
        <v>1.42</v>
      </c>
      <c r="Q122" s="19">
        <v>2.81</v>
      </c>
      <c r="R122" s="19"/>
      <c r="S122" s="19">
        <f t="shared" si="210"/>
        <v>100.17</v>
      </c>
      <c r="U122" s="75"/>
      <c r="W122" s="19"/>
      <c r="X122" s="19"/>
      <c r="Y122" s="19"/>
      <c r="Z122" s="19"/>
      <c r="AA122" s="19"/>
      <c r="AB122" s="22"/>
      <c r="AC122" s="22"/>
      <c r="AF122" s="19">
        <f t="shared" si="211"/>
        <v>0.51600652780495893</v>
      </c>
      <c r="AG122" s="20">
        <f>H122*5995</f>
        <v>4736.05</v>
      </c>
      <c r="AH122" s="20">
        <f>O122*8302</f>
        <v>45245.9</v>
      </c>
      <c r="AI122" s="20">
        <f>P122*4364</f>
        <v>6196.88</v>
      </c>
      <c r="AJ122" s="19">
        <f t="shared" si="212"/>
        <v>7.49</v>
      </c>
      <c r="AK122" s="19">
        <f t="shared" si="213"/>
        <v>2.6715686274509802</v>
      </c>
      <c r="AL122" s="19">
        <f t="shared" si="214"/>
        <v>0.37431192660550461</v>
      </c>
      <c r="AM122" s="19">
        <f>EK122/EG122</f>
        <v>1.9366812227074233</v>
      </c>
      <c r="AN122" s="19">
        <f t="shared" si="215"/>
        <v>0.59497816593886466</v>
      </c>
      <c r="AO122" s="19">
        <f t="shared" ref="AO122:AO130" si="219">(EL122/61.98+EM122/94.2)/(EG122/101.96)</f>
        <v>1.0103553614020138</v>
      </c>
      <c r="AP122" s="19">
        <f t="shared" ref="AP122:AP130" si="220">1/AO122</f>
        <v>0.98975077304717396</v>
      </c>
      <c r="AQ122" s="19">
        <f t="shared" ref="AQ122:AQ130" si="221">(EG122/101.96)/((EK122/56.08)+(EL122/61.98)+(EM122/94.2))</f>
        <v>0.22067902025676916</v>
      </c>
      <c r="AR122" s="20">
        <f>1000*(4*(EE122/60.08)-11*(EL122/61.98*2+EM122/94.2*2)-2*(EH122/159.69*2+EF122/79.87))</f>
        <v>121.03387353136763</v>
      </c>
      <c r="AS122" s="20">
        <f>1000*(6*(EK122/56.08)+2*(EJ122/40.3)+EG122/101.96*2)</f>
        <v>2495.931058323783</v>
      </c>
      <c r="AU122" s="19">
        <f t="shared" si="216"/>
        <v>0.14379947229551451</v>
      </c>
      <c r="AV122" s="19">
        <f t="shared" si="217"/>
        <v>0.64399122929009167</v>
      </c>
      <c r="AX122" s="20"/>
      <c r="AY122" s="20"/>
      <c r="AZ122" s="20"/>
      <c r="BA122" s="22"/>
      <c r="BB122" s="22"/>
      <c r="BC122" s="22"/>
      <c r="BD122" s="22"/>
      <c r="BE122" s="22"/>
      <c r="BF122" s="22"/>
      <c r="BG122" s="22"/>
      <c r="BH122" s="22"/>
      <c r="BJ122" s="20"/>
      <c r="BK122" s="20"/>
      <c r="BL122" s="22"/>
      <c r="BM122" s="22"/>
      <c r="BN122" s="20"/>
      <c r="BO122" s="20"/>
      <c r="BP122" s="20"/>
      <c r="BQ122" s="22"/>
      <c r="BR122" s="22"/>
      <c r="BS122" s="22"/>
      <c r="BT122" s="22"/>
      <c r="BU122" s="22"/>
      <c r="BV122" s="22"/>
      <c r="BW122" s="19"/>
      <c r="BX122" s="19"/>
      <c r="BY122" s="19"/>
      <c r="BZ122" s="22"/>
      <c r="CA122" s="19"/>
      <c r="CB122" s="20"/>
      <c r="CC122" s="20"/>
      <c r="CD122" s="22"/>
      <c r="CE122" s="22"/>
      <c r="CG122" s="22"/>
      <c r="CH122" s="22"/>
      <c r="CI122" s="22"/>
      <c r="CJ122" s="22"/>
      <c r="CK122" s="22"/>
      <c r="CL122" s="22"/>
      <c r="CM122" s="22"/>
      <c r="CN122" s="22"/>
      <c r="CO122" s="22"/>
      <c r="CP122" s="22"/>
      <c r="CQ122" s="22"/>
      <c r="CR122" s="22"/>
      <c r="CS122" s="22"/>
      <c r="CT122" s="22"/>
      <c r="CU122" s="22"/>
      <c r="CV122" s="22"/>
      <c r="CW122" s="22"/>
      <c r="CX122" s="20"/>
      <c r="CY122" s="22"/>
      <c r="CZ122" s="22"/>
      <c r="DA122" s="22"/>
      <c r="DB122" s="22"/>
      <c r="DC122" s="22"/>
      <c r="DD122" s="22"/>
      <c r="DE122" s="22"/>
      <c r="DF122" s="22"/>
      <c r="DG122" s="19"/>
      <c r="DH122" s="20"/>
      <c r="DI122" s="19"/>
      <c r="DJ122" s="22"/>
      <c r="DK122" s="22"/>
      <c r="DL122" s="22"/>
      <c r="DM122" s="22"/>
      <c r="DN122" s="76"/>
      <c r="DO122" s="22"/>
      <c r="DP122" s="20"/>
      <c r="DQ122" s="22"/>
      <c r="DR122" s="22"/>
      <c r="DS122" s="19"/>
      <c r="DT122" s="23"/>
      <c r="DU122" s="22"/>
      <c r="DV122" s="22"/>
      <c r="DW122" s="22"/>
      <c r="DX122" s="22"/>
      <c r="DY122" s="22"/>
      <c r="DZ122" s="19"/>
      <c r="EA122" s="23"/>
      <c r="EB122" s="19"/>
      <c r="EC122" s="19"/>
      <c r="ED122" s="19"/>
      <c r="EE122" s="19">
        <f t="shared" ref="EE122:EN123" si="222">100*G122/($G122+$H122+$I122+$J122+$K122+$L122+$M122+$N122+$O122+$P122)</f>
        <v>38.927691043549714</v>
      </c>
      <c r="EF122" s="19">
        <f t="shared" si="222"/>
        <v>0.81142152834839776</v>
      </c>
      <c r="EG122" s="19">
        <f t="shared" si="222"/>
        <v>9.4083812654067387</v>
      </c>
      <c r="EH122" s="19">
        <f t="shared" si="222"/>
        <v>15.940838126540674</v>
      </c>
      <c r="EI122" s="19">
        <f t="shared" si="222"/>
        <v>0.24650780608052589</v>
      </c>
      <c r="EJ122" s="19">
        <f t="shared" si="222"/>
        <v>7.2925225965488911</v>
      </c>
      <c r="EK122" s="19">
        <f t="shared" si="222"/>
        <v>18.221035332785537</v>
      </c>
      <c r="EL122" s="19">
        <f t="shared" si="222"/>
        <v>2.0953163516844699</v>
      </c>
      <c r="EM122" s="19">
        <f t="shared" si="222"/>
        <v>5.5977814297452753</v>
      </c>
      <c r="EN122" s="19">
        <f t="shared" si="222"/>
        <v>1.4585045193097781</v>
      </c>
      <c r="EO122" s="19">
        <f>SUM(EE122:EN122)</f>
        <v>100.00000000000001</v>
      </c>
    </row>
    <row r="123" spans="1:145" s="24" customFormat="1">
      <c r="A123" s="91" t="s">
        <v>170</v>
      </c>
      <c r="B123" s="91">
        <v>5</v>
      </c>
      <c r="C123" s="97" t="s">
        <v>169</v>
      </c>
      <c r="D123" s="24" t="s">
        <v>168</v>
      </c>
      <c r="E123" s="98" t="s">
        <v>167</v>
      </c>
      <c r="F123" s="97"/>
      <c r="G123" s="99">
        <v>37.369999999999997</v>
      </c>
      <c r="H123" s="99">
        <v>2.319</v>
      </c>
      <c r="I123" s="99">
        <v>9.24</v>
      </c>
      <c r="J123" s="99">
        <v>13.88</v>
      </c>
      <c r="K123" s="99">
        <v>0.20699999999999999</v>
      </c>
      <c r="L123" s="99">
        <v>7.58</v>
      </c>
      <c r="M123" s="99">
        <v>17.59</v>
      </c>
      <c r="N123" s="99">
        <v>1.58</v>
      </c>
      <c r="O123" s="99">
        <v>6.24</v>
      </c>
      <c r="P123" s="99">
        <v>1.53</v>
      </c>
      <c r="Q123" s="99">
        <v>0.26</v>
      </c>
      <c r="R123" s="99">
        <v>0.26</v>
      </c>
      <c r="S123" s="99">
        <f t="shared" si="210"/>
        <v>98.056000000000012</v>
      </c>
      <c r="T123" s="90"/>
      <c r="U123" s="100">
        <v>0.71060097715860115</v>
      </c>
      <c r="V123" s="100">
        <v>0.51204300000000003</v>
      </c>
      <c r="W123" s="99">
        <v>18.759797081792509</v>
      </c>
      <c r="X123" s="99">
        <v>15.683680399413538</v>
      </c>
      <c r="Y123" s="99">
        <v>39.009505305538127</v>
      </c>
      <c r="Z123" s="99">
        <f>Y123/W123</f>
        <v>2.0794204295204852</v>
      </c>
      <c r="AA123" s="99">
        <f>X123/W123</f>
        <v>0.83602612176628899</v>
      </c>
      <c r="AB123" s="101">
        <f>(X123-((0.1084*W123)+13.491))*100</f>
        <v>15.911839574722997</v>
      </c>
      <c r="AC123" s="101">
        <f>(Y123-(1.209*W123+15.627))*100</f>
        <v>70.191063365098216</v>
      </c>
      <c r="AD123" s="90"/>
      <c r="AE123" s="90"/>
      <c r="AF123" s="31">
        <f t="shared" si="211"/>
        <v>0.55999628310870009</v>
      </c>
      <c r="AG123" s="32">
        <f>H123*5995</f>
        <v>13902.404999999999</v>
      </c>
      <c r="AH123" s="32">
        <f>O123*8302</f>
        <v>51804.480000000003</v>
      </c>
      <c r="AI123" s="32">
        <f>P123*4364</f>
        <v>6676.92</v>
      </c>
      <c r="AJ123" s="31">
        <f t="shared" si="212"/>
        <v>7.82</v>
      </c>
      <c r="AK123" s="31">
        <f t="shared" si="213"/>
        <v>3.9493670886075951</v>
      </c>
      <c r="AL123" s="31">
        <f t="shared" si="214"/>
        <v>0.25320512820512819</v>
      </c>
      <c r="AM123" s="31">
        <f>EK123/EG123</f>
        <v>1.9036796536796534</v>
      </c>
      <c r="AN123" s="31">
        <f t="shared" si="215"/>
        <v>0.67532467532467533</v>
      </c>
      <c r="AO123" s="31">
        <f t="shared" si="219"/>
        <v>1.0122523964971597</v>
      </c>
      <c r="AP123" s="31">
        <f t="shared" si="220"/>
        <v>0.98789590764165303</v>
      </c>
      <c r="AQ123" s="31">
        <f t="shared" si="221"/>
        <v>0.22354537781331837</v>
      </c>
      <c r="AR123" s="32">
        <f>1000*(4*(EE123/60.08)-11*(EL123/61.98*2+EM123/94.2*2)-2*(EH123/159.69*2+EF123/79.87))</f>
        <v>65.741966715278494</v>
      </c>
      <c r="AS123" s="32">
        <f>1000*(6*(EK123/56.08)+2*(EJ123/40.3)+EG123/101.96*2)</f>
        <v>2501.0053303753862</v>
      </c>
      <c r="AT123" s="90"/>
      <c r="AU123" s="99">
        <f t="shared" si="216"/>
        <v>0.166978860048167</v>
      </c>
      <c r="AV123" s="99">
        <f t="shared" si="217"/>
        <v>0.73095651694377795</v>
      </c>
      <c r="AW123" s="90"/>
      <c r="AX123" s="102">
        <v>203</v>
      </c>
      <c r="AY123" s="102">
        <v>2260</v>
      </c>
      <c r="AZ123" s="102">
        <v>1399</v>
      </c>
      <c r="BA123" s="101">
        <v>8.1999999999999993</v>
      </c>
      <c r="BB123" s="101">
        <v>53</v>
      </c>
      <c r="BC123" s="101">
        <v>527</v>
      </c>
      <c r="BD123" s="101">
        <v>30</v>
      </c>
      <c r="BE123" s="101">
        <v>37</v>
      </c>
      <c r="BF123" s="101">
        <v>40</v>
      </c>
      <c r="BG123" s="101">
        <v>80</v>
      </c>
      <c r="BH123" s="101">
        <v>90</v>
      </c>
      <c r="BI123" s="90">
        <v>80</v>
      </c>
      <c r="BJ123" s="102">
        <v>606</v>
      </c>
      <c r="BK123" s="102">
        <v>30</v>
      </c>
      <c r="BL123" s="101">
        <v>16</v>
      </c>
      <c r="BM123" s="101">
        <v>1.5</v>
      </c>
      <c r="BN123" s="102">
        <v>220</v>
      </c>
      <c r="BO123" s="102">
        <v>498</v>
      </c>
      <c r="BP123" s="102">
        <v>60.9</v>
      </c>
      <c r="BQ123" s="101">
        <v>245</v>
      </c>
      <c r="BR123" s="101">
        <v>45.7</v>
      </c>
      <c r="BS123" s="101">
        <v>8.86</v>
      </c>
      <c r="BT123" s="101">
        <v>32.799999999999997</v>
      </c>
      <c r="BU123" s="101">
        <v>4.2</v>
      </c>
      <c r="BV123" s="101">
        <v>19.5</v>
      </c>
      <c r="BW123" s="99">
        <v>3.2</v>
      </c>
      <c r="BX123" s="99">
        <v>7.8</v>
      </c>
      <c r="BY123" s="99">
        <v>0.99</v>
      </c>
      <c r="BZ123" s="101">
        <v>5.6</v>
      </c>
      <c r="CA123" s="99">
        <v>0.85</v>
      </c>
      <c r="CB123" s="102">
        <v>57</v>
      </c>
      <c r="CC123" s="102">
        <v>100</v>
      </c>
      <c r="CD123" s="101">
        <v>23.2</v>
      </c>
      <c r="CE123" s="101">
        <v>24</v>
      </c>
      <c r="CF123" s="90"/>
      <c r="CG123" s="34">
        <f t="shared" ref="CG123:CG130" si="223">BN123/0.242</f>
        <v>909.09090909090912</v>
      </c>
      <c r="CH123" s="34">
        <f t="shared" ref="CH123:CH130" si="224">BO123/0.635</f>
        <v>784.25196850393695</v>
      </c>
      <c r="CI123" s="34">
        <f t="shared" ref="CI123:CI130" si="225">BP123/0.0963</f>
        <v>632.39875389408098</v>
      </c>
      <c r="CJ123" s="34">
        <f t="shared" ref="CJ123:CJ130" si="226">BQ123/0.48</f>
        <v>510.41666666666669</v>
      </c>
      <c r="CK123" s="34">
        <f t="shared" ref="CK123:CK130" si="227">BR123/0.156</f>
        <v>292.94871794871796</v>
      </c>
      <c r="CL123" s="34">
        <f t="shared" ref="CL123:CL130" si="228">BS123/0.0591</f>
        <v>149.91539763113366</v>
      </c>
      <c r="CM123" s="34">
        <f t="shared" ref="CM123:CM130" si="229">BT123/0.212</f>
        <v>154.71698113207546</v>
      </c>
      <c r="CN123" s="34">
        <f t="shared" ref="CN123:CN130" si="230">BU123/0.0376</f>
        <v>111.70212765957447</v>
      </c>
      <c r="CO123" s="34">
        <f t="shared" ref="CO123:CO130" si="231">BV123/0.259</f>
        <v>75.289575289575282</v>
      </c>
      <c r="CP123" s="34">
        <f t="shared" ref="CP123:CP130" si="232">BW123/0.0585</f>
        <v>54.700854700854698</v>
      </c>
      <c r="CQ123" s="34">
        <f t="shared" ref="CQ123:CQ130" si="233">BX123/0.163</f>
        <v>47.852760736196316</v>
      </c>
      <c r="CR123" s="34">
        <f t="shared" ref="CR123:CR130" si="234">BY123/0.0256</f>
        <v>38.671875</v>
      </c>
      <c r="CS123" s="34">
        <f t="shared" ref="CS123:CS130" si="235">BZ123/0.166</f>
        <v>33.734939759036138</v>
      </c>
      <c r="CT123" s="34">
        <f t="shared" ref="CT123:CT130" si="236">CA123/0.024</f>
        <v>35.416666666666664</v>
      </c>
      <c r="CU123" s="34">
        <f>AZ123/BK123</f>
        <v>46.633333333333333</v>
      </c>
      <c r="CV123" s="34">
        <f>AZ123/BN123</f>
        <v>6.3590909090909093</v>
      </c>
      <c r="CW123" s="34">
        <f>BN123/BK123</f>
        <v>7.333333333333333</v>
      </c>
      <c r="CX123" s="32">
        <f>AG123/BK123</f>
        <v>463.41349999999994</v>
      </c>
      <c r="CY123" s="34">
        <f>BO123/CB123</f>
        <v>8.7368421052631575</v>
      </c>
      <c r="CZ123" s="34">
        <f>BK123/CD123</f>
        <v>1.2931034482758621</v>
      </c>
      <c r="DA123" s="34">
        <f>AX123/BR123</f>
        <v>4.4420131291028442</v>
      </c>
      <c r="DB123" s="34">
        <f>BJ123/BK123</f>
        <v>20.2</v>
      </c>
      <c r="DC123" s="34">
        <f t="shared" ref="DC123:DC130" si="237">AZ123/CC123</f>
        <v>13.99</v>
      </c>
      <c r="DD123" s="34">
        <f>CC123/BM123</f>
        <v>66.666666666666671</v>
      </c>
      <c r="DE123" s="34">
        <f>BM123/BZ123</f>
        <v>0.26785714285714285</v>
      </c>
      <c r="DF123" s="34">
        <f>CC123/BZ123</f>
        <v>17.857142857142858</v>
      </c>
      <c r="DG123" s="31">
        <f>BK123/BI123</f>
        <v>0.375</v>
      </c>
      <c r="DH123" s="32">
        <f>AH123/BN123</f>
        <v>235.47490909090911</v>
      </c>
      <c r="DI123" s="31">
        <f>(BK123/0.46)/((O123/0.023)*(CD123/0.017))^0.5</f>
        <v>0.10718043478301804</v>
      </c>
      <c r="DJ123" s="34">
        <f>BN123/CA123</f>
        <v>258.8235294117647</v>
      </c>
      <c r="DK123" s="34">
        <f>CG123/CT123</f>
        <v>25.668449197860966</v>
      </c>
      <c r="DL123" s="34">
        <f t="shared" ref="DL123:DL130" si="238">CG123/CK123</f>
        <v>3.1032424905510245</v>
      </c>
      <c r="DM123" s="34">
        <f>BN123/BZ123</f>
        <v>39.285714285714285</v>
      </c>
      <c r="DN123" s="94">
        <f t="shared" ref="DN123:DN130" si="239">BL123/BQ123</f>
        <v>6.5306122448979598E-2</v>
      </c>
      <c r="DO123" s="34">
        <f t="shared" ref="DO123:DO130" si="240">BR123/BZ123</f>
        <v>8.1607142857142865</v>
      </c>
      <c r="DP123" s="32">
        <f t="shared" ref="DP123:DP130" si="241">AY123/BZ123</f>
        <v>403.57142857142861</v>
      </c>
      <c r="DQ123" s="34">
        <f>AY123/BQ123</f>
        <v>9.2244897959183678</v>
      </c>
      <c r="DR123" s="34">
        <f>AY123/(((BR123/0.195)*(BT123/0.259))^0.5)</f>
        <v>13.118392022846798</v>
      </c>
      <c r="DS123" s="31">
        <f>(BS123/0.074)/(((BR123/0.195)*(BT123/0.259))^0.5)</f>
        <v>0.69498297848853519</v>
      </c>
      <c r="DT123" s="35">
        <f>1/AY123</f>
        <v>4.4247787610619468E-4</v>
      </c>
      <c r="DU123" s="34">
        <f>BJ123/BI123</f>
        <v>7.5750000000000002</v>
      </c>
      <c r="DV123" s="34">
        <f>BK123/BM123</f>
        <v>20</v>
      </c>
      <c r="DW123" s="34">
        <f>1.74+LOG(BK123/BI123)-1.92*LOG(BJ123/BI123)</f>
        <v>-0.37438339564701884</v>
      </c>
      <c r="DX123" s="34">
        <f>BK123*100/BJ123</f>
        <v>4.9504950495049505</v>
      </c>
      <c r="DY123" s="34">
        <f>CC123*100/BJ123</f>
        <v>16.501650165016503</v>
      </c>
      <c r="DZ123" s="31">
        <f>EK123*100/AY123</f>
        <v>0.79798083176549828</v>
      </c>
      <c r="EA123" s="35">
        <f t="shared" ref="EA123:EA130" si="242">BA123/BN123</f>
        <v>3.727272727272727E-2</v>
      </c>
      <c r="EB123" s="31">
        <f t="shared" ref="EB123:EB130" si="243">CC123/BK123</f>
        <v>3.3333333333333335</v>
      </c>
      <c r="EC123" s="31">
        <f t="shared" ref="EC123:EC130" si="244">(CB123/0.144)/(CH123*CI123)^(1/2)</f>
        <v>0.56206824798632637</v>
      </c>
      <c r="ED123" s="31"/>
      <c r="EE123" s="31">
        <f t="shared" si="222"/>
        <v>38.314058398950124</v>
      </c>
      <c r="EF123" s="31">
        <f t="shared" si="222"/>
        <v>2.3775836614173227</v>
      </c>
      <c r="EG123" s="31">
        <f t="shared" si="222"/>
        <v>9.4734251968503944</v>
      </c>
      <c r="EH123" s="31">
        <f t="shared" si="222"/>
        <v>14.230643044619422</v>
      </c>
      <c r="EI123" s="31">
        <f t="shared" si="222"/>
        <v>0.2122293307086614</v>
      </c>
      <c r="EJ123" s="31">
        <f t="shared" si="222"/>
        <v>7.7714895013123355</v>
      </c>
      <c r="EK123" s="31">
        <f t="shared" si="222"/>
        <v>18.034366797900262</v>
      </c>
      <c r="EL123" s="31">
        <f t="shared" si="222"/>
        <v>1.6199146981627297</v>
      </c>
      <c r="EM123" s="31">
        <f t="shared" si="222"/>
        <v>6.3976377952755907</v>
      </c>
      <c r="EN123" s="31">
        <f t="shared" si="222"/>
        <v>1.5686515748031495</v>
      </c>
      <c r="EO123" s="31">
        <f>SUM(EE123:EN123)</f>
        <v>100</v>
      </c>
    </row>
    <row r="124" spans="1:145" s="71" customFormat="1">
      <c r="A124" s="71" t="s">
        <v>163</v>
      </c>
      <c r="B124" s="71">
        <v>9</v>
      </c>
      <c r="C124" s="103" t="s">
        <v>166</v>
      </c>
      <c r="D124" s="48" t="s">
        <v>271</v>
      </c>
      <c r="E124" s="104" t="s">
        <v>161</v>
      </c>
      <c r="F124" s="105"/>
      <c r="G124" s="58">
        <v>41.1</v>
      </c>
      <c r="H124" s="58">
        <v>0.69199999999999995</v>
      </c>
      <c r="I124" s="58">
        <v>10.01</v>
      </c>
      <c r="J124" s="58">
        <v>7.05</v>
      </c>
      <c r="K124" s="58">
        <v>0.11700000000000001</v>
      </c>
      <c r="L124" s="58">
        <v>12.89</v>
      </c>
      <c r="M124" s="58">
        <v>15.74</v>
      </c>
      <c r="N124" s="58">
        <v>0.97</v>
      </c>
      <c r="O124" s="58">
        <v>7.52</v>
      </c>
      <c r="P124" s="58">
        <v>0.38</v>
      </c>
      <c r="Q124" s="58">
        <v>1.46</v>
      </c>
      <c r="R124" s="58">
        <v>0.88</v>
      </c>
      <c r="S124" s="58">
        <v>98.808999999999969</v>
      </c>
      <c r="U124" s="106">
        <v>0.71059030079940499</v>
      </c>
      <c r="V124" s="107">
        <v>0.5121</v>
      </c>
      <c r="W124" s="108">
        <v>18.761397781217138</v>
      </c>
      <c r="X124" s="108">
        <v>15.682679986048944</v>
      </c>
      <c r="Y124" s="108">
        <v>39.011206561775687</v>
      </c>
      <c r="Z124" s="108">
        <v>2.079333694466599</v>
      </c>
      <c r="AA124" s="58">
        <v>0.83590147007860827</v>
      </c>
      <c r="AB124" s="58">
        <v>15.79444665650076</v>
      </c>
      <c r="AC124" s="58">
        <v>70.167664428416288</v>
      </c>
      <c r="AD124" s="58">
        <v>-8.2887333333333331</v>
      </c>
      <c r="AF124" s="58">
        <f t="shared" ref="AF124:AF130" si="245">(L124/40.31)/((L124/40.31)+(J124-(J124*0.1189))*0.8998/71.85)</f>
        <v>0.8043287541933436</v>
      </c>
      <c r="AG124" s="109">
        <v>4148.54</v>
      </c>
      <c r="AH124" s="109">
        <v>62431.039999999994</v>
      </c>
      <c r="AI124" s="109">
        <v>1658.32</v>
      </c>
      <c r="AJ124" s="58">
        <v>8.49</v>
      </c>
      <c r="AK124" s="58">
        <v>7.7525773195876289</v>
      </c>
      <c r="AL124" s="58">
        <v>0.12898936170212766</v>
      </c>
      <c r="AM124" s="58">
        <v>1.5724275724275723</v>
      </c>
      <c r="AN124" s="58">
        <f t="shared" si="215"/>
        <v>0.75124875124875123</v>
      </c>
      <c r="AO124" s="58">
        <f t="shared" si="219"/>
        <v>0.97254518870121176</v>
      </c>
      <c r="AP124" s="58">
        <f t="shared" si="220"/>
        <v>1.0282298566871251</v>
      </c>
      <c r="AQ124" s="58">
        <f t="shared" si="221"/>
        <v>0.26100103362130261</v>
      </c>
      <c r="AR124" s="109">
        <v>1638.2914276880224</v>
      </c>
      <c r="AS124" s="109">
        <v>2510.5482724866174</v>
      </c>
      <c r="AT124" s="109"/>
      <c r="AU124" s="58">
        <f t="shared" si="216"/>
        <v>0.18296836982968367</v>
      </c>
      <c r="AV124" s="58">
        <f t="shared" si="217"/>
        <v>0.8131350602688181</v>
      </c>
      <c r="AX124" s="109">
        <v>455</v>
      </c>
      <c r="AY124" s="109">
        <v>1670</v>
      </c>
      <c r="AZ124" s="109">
        <v>624</v>
      </c>
      <c r="BA124" s="61">
        <v>35</v>
      </c>
      <c r="BB124" s="109">
        <v>20</v>
      </c>
      <c r="BC124" s="109">
        <v>141</v>
      </c>
      <c r="BD124" s="109">
        <v>870</v>
      </c>
      <c r="BE124" s="109">
        <v>37</v>
      </c>
      <c r="BF124" s="109">
        <v>140</v>
      </c>
      <c r="BG124" s="109">
        <v>30</v>
      </c>
      <c r="BH124" s="109">
        <v>80</v>
      </c>
      <c r="BI124" s="71">
        <v>27</v>
      </c>
      <c r="BJ124" s="109">
        <v>336</v>
      </c>
      <c r="BK124" s="109">
        <v>13</v>
      </c>
      <c r="BL124" s="61">
        <v>8.4</v>
      </c>
      <c r="BM124" s="61">
        <v>0.6</v>
      </c>
      <c r="BN124" s="109">
        <v>79.7</v>
      </c>
      <c r="BO124" s="109">
        <v>179</v>
      </c>
      <c r="BP124" s="109">
        <v>22.1</v>
      </c>
      <c r="BQ124" s="109">
        <v>87.2</v>
      </c>
      <c r="BR124" s="61">
        <v>16.399999999999999</v>
      </c>
      <c r="BS124" s="61">
        <v>3.16</v>
      </c>
      <c r="BT124" s="61">
        <v>11.7</v>
      </c>
      <c r="BU124" s="61">
        <v>1.5</v>
      </c>
      <c r="BV124" s="61">
        <v>7.2</v>
      </c>
      <c r="BW124" s="58">
        <v>1.1000000000000001</v>
      </c>
      <c r="BX124" s="58">
        <v>2.9</v>
      </c>
      <c r="BY124" s="58">
        <v>0.36</v>
      </c>
      <c r="BZ124" s="61">
        <v>2.1</v>
      </c>
      <c r="CA124" s="58">
        <v>0.31</v>
      </c>
      <c r="CB124" s="109">
        <v>23</v>
      </c>
      <c r="CC124" s="109">
        <v>34.5</v>
      </c>
      <c r="CD124" s="61">
        <v>5.9</v>
      </c>
      <c r="CE124" s="61">
        <v>13</v>
      </c>
      <c r="CG124" s="61">
        <f t="shared" si="223"/>
        <v>329.33884297520666</v>
      </c>
      <c r="CH124" s="61">
        <f t="shared" si="224"/>
        <v>281.88976377952753</v>
      </c>
      <c r="CI124" s="61">
        <f t="shared" si="225"/>
        <v>229.49117341640709</v>
      </c>
      <c r="CJ124" s="61">
        <f t="shared" si="226"/>
        <v>181.66666666666669</v>
      </c>
      <c r="CK124" s="61">
        <f t="shared" si="227"/>
        <v>105.12820512820512</v>
      </c>
      <c r="CL124" s="61">
        <f t="shared" si="228"/>
        <v>53.468697123519462</v>
      </c>
      <c r="CM124" s="61">
        <f t="shared" si="229"/>
        <v>55.188679245283019</v>
      </c>
      <c r="CN124" s="61">
        <f t="shared" si="230"/>
        <v>39.893617021276597</v>
      </c>
      <c r="CO124" s="61">
        <f t="shared" si="231"/>
        <v>27.799227799227801</v>
      </c>
      <c r="CP124" s="61">
        <f t="shared" si="232"/>
        <v>18.803418803418804</v>
      </c>
      <c r="CQ124" s="61">
        <f t="shared" si="233"/>
        <v>17.791411042944784</v>
      </c>
      <c r="CR124" s="61">
        <f t="shared" si="234"/>
        <v>14.062499999999998</v>
      </c>
      <c r="CS124" s="61">
        <f t="shared" si="235"/>
        <v>12.650602409638553</v>
      </c>
      <c r="CT124" s="61">
        <f t="shared" si="236"/>
        <v>12.916666666666666</v>
      </c>
      <c r="CU124" s="61">
        <v>48</v>
      </c>
      <c r="CV124" s="61">
        <v>7.8293601003764115</v>
      </c>
      <c r="CW124" s="61">
        <v>6.1307692307692312</v>
      </c>
      <c r="CX124" s="109">
        <v>319.11846153846153</v>
      </c>
      <c r="CY124" s="61">
        <v>7.7826086956521738</v>
      </c>
      <c r="CZ124" s="61">
        <v>2.2033898305084745</v>
      </c>
      <c r="DA124" s="61">
        <v>27.743902439024392</v>
      </c>
      <c r="DB124" s="61">
        <v>25.846153846153847</v>
      </c>
      <c r="DC124" s="61">
        <f t="shared" si="237"/>
        <v>18.086956521739129</v>
      </c>
      <c r="DD124" s="61">
        <v>57.5</v>
      </c>
      <c r="DE124" s="61">
        <v>0.2857142857142857</v>
      </c>
      <c r="DF124" s="61">
        <v>16.428571428571427</v>
      </c>
      <c r="DG124" s="58">
        <v>0.48148148148148145</v>
      </c>
      <c r="DH124" s="109">
        <v>783.32547051442896</v>
      </c>
      <c r="DI124" s="58">
        <v>8.3895559210265244E-2</v>
      </c>
      <c r="DJ124" s="61">
        <v>257.09677419354841</v>
      </c>
      <c r="DK124" s="61">
        <v>26.539021852237255</v>
      </c>
      <c r="DL124" s="61">
        <f t="shared" si="238"/>
        <v>3.1327353356178196</v>
      </c>
      <c r="DM124" s="61">
        <v>37.952380952380949</v>
      </c>
      <c r="DN124" s="108">
        <f t="shared" si="239"/>
        <v>9.6330275229357804E-2</v>
      </c>
      <c r="DO124" s="61">
        <f t="shared" si="240"/>
        <v>7.8095238095238084</v>
      </c>
      <c r="DP124" s="109">
        <f t="shared" si="241"/>
        <v>795.23809523809518</v>
      </c>
      <c r="DQ124" s="109">
        <v>19.151376146788991</v>
      </c>
      <c r="DR124" s="61">
        <v>27.09373033705835</v>
      </c>
      <c r="DS124" s="58">
        <v>0.69279970759916165</v>
      </c>
      <c r="DT124" s="58">
        <v>5.9880239520958083E-4</v>
      </c>
      <c r="DU124" s="61">
        <v>12.444444444444445</v>
      </c>
      <c r="DV124" s="61">
        <v>21.666666666666668</v>
      </c>
      <c r="DW124" s="61">
        <v>-0.67977339725539565</v>
      </c>
      <c r="DX124" s="61">
        <v>3.8690476190476191</v>
      </c>
      <c r="DY124" s="61">
        <v>10.267857142857142</v>
      </c>
      <c r="DZ124" s="58">
        <v>0.97701331003729741</v>
      </c>
      <c r="EA124" s="63">
        <f t="shared" si="242"/>
        <v>0.43914680050188204</v>
      </c>
      <c r="EB124" s="58">
        <f t="shared" si="243"/>
        <v>2.6538461538461537</v>
      </c>
      <c r="EC124" s="58">
        <f t="shared" si="244"/>
        <v>0.6279754962529408</v>
      </c>
      <c r="ED124" s="58"/>
      <c r="EE124" s="58">
        <v>42.604359949828449</v>
      </c>
      <c r="EF124" s="58">
        <v>0.71732888285355922</v>
      </c>
      <c r="EG124" s="58">
        <v>10.376390343011748</v>
      </c>
      <c r="EH124" s="58">
        <v>7.3080471446786026</v>
      </c>
      <c r="EI124" s="58">
        <v>0.12128248452870874</v>
      </c>
      <c r="EJ124" s="58">
        <v>13.361805346795347</v>
      </c>
      <c r="EK124" s="58">
        <v>16.316122277622867</v>
      </c>
      <c r="EL124" s="58">
        <v>1.0055043589132262</v>
      </c>
      <c r="EM124" s="58">
        <v>7.7952502876571765</v>
      </c>
      <c r="EN124" s="58">
        <v>0.39390892411033607</v>
      </c>
      <c r="EO124" s="58">
        <v>100.00000000000003</v>
      </c>
    </row>
    <row r="125" spans="1:145" s="48" customFormat="1">
      <c r="A125" s="71" t="s">
        <v>163</v>
      </c>
      <c r="B125" s="71">
        <v>9</v>
      </c>
      <c r="C125" s="103" t="s">
        <v>165</v>
      </c>
      <c r="D125" s="48" t="s">
        <v>271</v>
      </c>
      <c r="E125" s="104" t="s">
        <v>161</v>
      </c>
      <c r="F125" s="110"/>
      <c r="G125" s="111">
        <v>46.78</v>
      </c>
      <c r="H125" s="111">
        <v>0.88400000000000001</v>
      </c>
      <c r="I125" s="111">
        <v>11.67</v>
      </c>
      <c r="J125" s="111">
        <v>8.85</v>
      </c>
      <c r="K125" s="111">
        <v>0.14399999999999999</v>
      </c>
      <c r="L125" s="111">
        <v>10.98</v>
      </c>
      <c r="M125" s="111">
        <v>4.72</v>
      </c>
      <c r="N125" s="111">
        <v>0.76</v>
      </c>
      <c r="O125" s="111">
        <v>8.36</v>
      </c>
      <c r="P125" s="111">
        <v>0.39</v>
      </c>
      <c r="Q125" s="111">
        <v>4.42</v>
      </c>
      <c r="R125" s="111">
        <v>0.12</v>
      </c>
      <c r="S125" s="111">
        <f t="shared" ref="S125:S130" si="246">SUM(G125:R125)</f>
        <v>98.078000000000017</v>
      </c>
      <c r="T125" s="112"/>
      <c r="U125" s="54">
        <v>0.71056476644968636</v>
      </c>
      <c r="V125" s="55">
        <v>0.51204899999999998</v>
      </c>
      <c r="W125" s="113">
        <v>18.764399092638318</v>
      </c>
      <c r="X125" s="113">
        <v>15.682880068721863</v>
      </c>
      <c r="Y125" s="113">
        <v>39.009405231641807</v>
      </c>
      <c r="Z125" s="113">
        <f t="shared" ref="Z125:Z130" si="247">Y125/W125</f>
        <v>2.0789051138304795</v>
      </c>
      <c r="AA125" s="113">
        <f t="shared" ref="AA125:AA130" si="248">X125/W125</f>
        <v>0.83577843294084475</v>
      </c>
      <c r="AB125" s="113">
        <f t="shared" ref="AB125:AB130" si="249">(X125-((0.1084*W125)+13.491))*100</f>
        <v>15.781920707986963</v>
      </c>
      <c r="AC125" s="113">
        <f t="shared" ref="AC125:AC130" si="250">(Y125-(1.209*W125+15.627))*100</f>
        <v>69.624672864208037</v>
      </c>
      <c r="AD125" s="111">
        <v>-7.5395033333333332</v>
      </c>
      <c r="AE125" s="58"/>
      <c r="AF125" s="58">
        <f t="shared" si="245"/>
        <v>0.73610197978014225</v>
      </c>
      <c r="AG125" s="109">
        <f t="shared" ref="AG125:AG130" si="251">H125*5995</f>
        <v>5299.58</v>
      </c>
      <c r="AH125" s="109">
        <f t="shared" ref="AH125:AH130" si="252">O125*8302</f>
        <v>69404.72</v>
      </c>
      <c r="AI125" s="109">
        <f t="shared" ref="AI125:AI130" si="253">P125*4364</f>
        <v>1701.96</v>
      </c>
      <c r="AJ125" s="58">
        <f t="shared" ref="AJ125:AJ130" si="254">N125+O125</f>
        <v>9.1199999999999992</v>
      </c>
      <c r="AK125" s="58">
        <f t="shared" ref="AK125:AK130" si="255">O125/N125</f>
        <v>11</v>
      </c>
      <c r="AL125" s="58">
        <f t="shared" ref="AL125:AL130" si="256">N125/O125</f>
        <v>9.0909090909090912E-2</v>
      </c>
      <c r="AM125" s="58">
        <f t="shared" ref="AM125:AM130" si="257">EK125/EG125</f>
        <v>0.40445586975149961</v>
      </c>
      <c r="AN125" s="58">
        <f t="shared" si="215"/>
        <v>0.71636675235646952</v>
      </c>
      <c r="AO125" s="58">
        <f t="shared" si="219"/>
        <v>0.88251199360567156</v>
      </c>
      <c r="AP125" s="58">
        <f t="shared" si="220"/>
        <v>1.1331290761435533</v>
      </c>
      <c r="AQ125" s="58">
        <f t="shared" si="221"/>
        <v>0.61810042451934755</v>
      </c>
      <c r="AR125" s="109">
        <f t="shared" ref="AR125:AR130" si="258">1000*(4*(EE125/60.08)-11*(EL125/61.98+EM125/94.2)-2*(EH125/159.69+EF125/79.87))</f>
        <v>1999.6527951429441</v>
      </c>
      <c r="AS125" s="109">
        <f t="shared" ref="AS125:AS130" si="259">1000*(6*(EK125/56.08)+2*(EJ125/40.3)+EG125/101.96)</f>
        <v>1244.8017579632688</v>
      </c>
      <c r="AT125" s="109"/>
      <c r="AU125" s="58">
        <f t="shared" si="216"/>
        <v>0.17870884993587002</v>
      </c>
      <c r="AV125" s="58">
        <f t="shared" si="217"/>
        <v>0.77537955488604704</v>
      </c>
      <c r="AW125" s="112"/>
      <c r="AX125" s="114">
        <v>707</v>
      </c>
      <c r="AY125" s="114">
        <v>754</v>
      </c>
      <c r="AZ125" s="114">
        <v>845</v>
      </c>
      <c r="BA125" s="115">
        <v>40.5</v>
      </c>
      <c r="BB125" s="114">
        <v>26</v>
      </c>
      <c r="BC125" s="114">
        <v>165</v>
      </c>
      <c r="BD125" s="114">
        <v>990</v>
      </c>
      <c r="BE125" s="114">
        <v>43</v>
      </c>
      <c r="BF125" s="114">
        <v>180</v>
      </c>
      <c r="BG125" s="114">
        <v>30</v>
      </c>
      <c r="BH125" s="114">
        <v>90</v>
      </c>
      <c r="BI125" s="112">
        <v>40</v>
      </c>
      <c r="BJ125" s="114">
        <v>414</v>
      </c>
      <c r="BK125" s="114">
        <v>17</v>
      </c>
      <c r="BL125" s="115">
        <v>10.6</v>
      </c>
      <c r="BM125" s="115">
        <v>0.8</v>
      </c>
      <c r="BN125" s="114">
        <v>97.7</v>
      </c>
      <c r="BO125" s="114">
        <v>218</v>
      </c>
      <c r="BP125" s="114">
        <v>26.8</v>
      </c>
      <c r="BQ125" s="114">
        <v>106</v>
      </c>
      <c r="BR125" s="115">
        <v>19.8</v>
      </c>
      <c r="BS125" s="115">
        <v>3.96</v>
      </c>
      <c r="BT125" s="115">
        <v>14.5</v>
      </c>
      <c r="BU125" s="115">
        <v>1.8</v>
      </c>
      <c r="BV125" s="115">
        <v>9.3000000000000007</v>
      </c>
      <c r="BW125" s="111">
        <v>1.6</v>
      </c>
      <c r="BX125" s="111">
        <v>4</v>
      </c>
      <c r="BY125" s="111">
        <v>0.52</v>
      </c>
      <c r="BZ125" s="115">
        <v>3.1</v>
      </c>
      <c r="CA125" s="111">
        <v>0.44</v>
      </c>
      <c r="CB125" s="114">
        <v>33</v>
      </c>
      <c r="CC125" s="114">
        <v>45.2</v>
      </c>
      <c r="CD125" s="115">
        <v>10.3</v>
      </c>
      <c r="CE125" s="115">
        <v>16</v>
      </c>
      <c r="CF125" s="114"/>
      <c r="CG125" s="61">
        <f t="shared" si="223"/>
        <v>403.71900826446284</v>
      </c>
      <c r="CH125" s="61">
        <f t="shared" si="224"/>
        <v>343.30708661417322</v>
      </c>
      <c r="CI125" s="61">
        <f t="shared" si="225"/>
        <v>278.29698857736241</v>
      </c>
      <c r="CJ125" s="61">
        <f t="shared" si="226"/>
        <v>220.83333333333334</v>
      </c>
      <c r="CK125" s="61">
        <f t="shared" si="227"/>
        <v>126.92307692307693</v>
      </c>
      <c r="CL125" s="61">
        <f t="shared" si="228"/>
        <v>67.005076142131983</v>
      </c>
      <c r="CM125" s="61">
        <f t="shared" si="229"/>
        <v>68.396226415094347</v>
      </c>
      <c r="CN125" s="61">
        <f t="shared" si="230"/>
        <v>47.872340425531917</v>
      </c>
      <c r="CO125" s="61">
        <f t="shared" si="231"/>
        <v>35.907335907335906</v>
      </c>
      <c r="CP125" s="61">
        <f t="shared" si="232"/>
        <v>27.350427350427349</v>
      </c>
      <c r="CQ125" s="61">
        <f t="shared" si="233"/>
        <v>24.539877300613497</v>
      </c>
      <c r="CR125" s="61">
        <f t="shared" si="234"/>
        <v>20.3125</v>
      </c>
      <c r="CS125" s="61">
        <f t="shared" si="235"/>
        <v>18.674698795180724</v>
      </c>
      <c r="CT125" s="61">
        <f t="shared" si="236"/>
        <v>18.333333333333332</v>
      </c>
      <c r="CU125" s="61">
        <f t="shared" ref="CU125:CU130" si="260">AZ125/BK125</f>
        <v>49.705882352941174</v>
      </c>
      <c r="CV125" s="61">
        <f t="shared" ref="CV125:CV130" si="261">AZ125/BN125</f>
        <v>8.6489252814738986</v>
      </c>
      <c r="CW125" s="61">
        <f t="shared" ref="CW125:CW130" si="262">BN125/BK125</f>
        <v>5.7470588235294118</v>
      </c>
      <c r="CX125" s="109">
        <f t="shared" ref="CX125:CX130" si="263">AG125/BK125</f>
        <v>311.74</v>
      </c>
      <c r="CY125" s="61">
        <f t="shared" ref="CY125:CY130" si="264">BO125/CB125</f>
        <v>6.6060606060606064</v>
      </c>
      <c r="CZ125" s="61">
        <f t="shared" ref="CZ125:CZ130" si="265">BK125/CD125</f>
        <v>1.6504854368932038</v>
      </c>
      <c r="DA125" s="61">
        <f t="shared" ref="DA125:DA130" si="266">AX125/BR125</f>
        <v>35.707070707070706</v>
      </c>
      <c r="DB125" s="61">
        <f t="shared" ref="DB125:DB130" si="267">BJ125/BK125</f>
        <v>24.352941176470587</v>
      </c>
      <c r="DC125" s="61">
        <f t="shared" si="237"/>
        <v>18.694690265486724</v>
      </c>
      <c r="DD125" s="61">
        <f t="shared" ref="DD125:DD130" si="268">CC125/BM125</f>
        <v>56.5</v>
      </c>
      <c r="DE125" s="61">
        <f t="shared" ref="DE125:DE130" si="269">BM125/BZ125</f>
        <v>0.25806451612903225</v>
      </c>
      <c r="DF125" s="61">
        <f t="shared" ref="DF125:DF130" si="270">CC125/BZ125</f>
        <v>14.580645161290324</v>
      </c>
      <c r="DG125" s="58">
        <f t="shared" ref="DG125:DG130" si="271">BK125/BI125</f>
        <v>0.42499999999999999</v>
      </c>
      <c r="DH125" s="109">
        <f t="shared" ref="DH125:DH130" si="272">AH125/BN125</f>
        <v>710.38607983623331</v>
      </c>
      <c r="DI125" s="58">
        <f t="shared" ref="DI125:DI130" si="273">(BK125/0.46)/((O125/0.023)*(CD125/0.017))^0.5</f>
        <v>7.8751297391426167E-2</v>
      </c>
      <c r="DJ125" s="61">
        <f t="shared" ref="DJ125:DJ130" si="274">BN125/CA125</f>
        <v>222.04545454545456</v>
      </c>
      <c r="DK125" s="61">
        <f t="shared" ref="DK125:DK130" si="275">CG125/CT125</f>
        <v>22.021036814425248</v>
      </c>
      <c r="DL125" s="61">
        <f t="shared" si="238"/>
        <v>3.1808164287503131</v>
      </c>
      <c r="DM125" s="61">
        <f t="shared" ref="DM125:DM130" si="276">BN125/BZ125</f>
        <v>31.516129032258064</v>
      </c>
      <c r="DN125" s="108">
        <f t="shared" si="239"/>
        <v>9.9999999999999992E-2</v>
      </c>
      <c r="DO125" s="61">
        <f t="shared" si="240"/>
        <v>6.387096774193548</v>
      </c>
      <c r="DP125" s="109">
        <f t="shared" si="241"/>
        <v>243.2258064516129</v>
      </c>
      <c r="DQ125" s="61">
        <f t="shared" ref="DQ125:DQ130" si="277">AY125/BQ125</f>
        <v>7.1132075471698117</v>
      </c>
      <c r="DR125" s="61">
        <f t="shared" ref="DR125:DR130" si="278">AY125/(((BR125/0.195)*(BT125/0.259))^0.5)</f>
        <v>10.000505138756893</v>
      </c>
      <c r="DS125" s="58">
        <f t="shared" ref="DS125:DS130" si="279">(BS125/0.074)/(((BR125/0.195)*(BT125/0.259))^0.5)</f>
        <v>0.70976414706210655</v>
      </c>
      <c r="DT125" s="63">
        <f t="shared" ref="DT125:DT130" si="280">1/AY125</f>
        <v>1.3262599469496021E-3</v>
      </c>
      <c r="DU125" s="61">
        <f t="shared" ref="DU125:DU130" si="281">BJ125/BI125</f>
        <v>10.35</v>
      </c>
      <c r="DV125" s="61">
        <f t="shared" ref="DV125:DV130" si="282">BK125/BM125</f>
        <v>21.25</v>
      </c>
      <c r="DW125" s="61">
        <f t="shared" ref="DW125:DW130" si="283">1.74+LOG(BK125/BI125)-1.92*LOG(BJ125/BI125)</f>
        <v>-0.58029654155212662</v>
      </c>
      <c r="DX125" s="61">
        <f t="shared" ref="DX125:DX130" si="284">BK125*100/BJ125</f>
        <v>4.1062801932367146</v>
      </c>
      <c r="DY125" s="61">
        <f t="shared" ref="DY125:DY130" si="285">CC125*100/BJ125</f>
        <v>10.917874396135266</v>
      </c>
      <c r="DZ125" s="58">
        <f t="shared" ref="DZ125:DZ130" si="286">EK125*100/AY125</f>
        <v>0.66924105172252146</v>
      </c>
      <c r="EA125" s="63">
        <f t="shared" si="242"/>
        <v>0.41453428863868985</v>
      </c>
      <c r="EB125" s="58">
        <f t="shared" si="243"/>
        <v>2.658823529411765</v>
      </c>
      <c r="EC125" s="58">
        <f t="shared" si="244"/>
        <v>0.7414055114779291</v>
      </c>
      <c r="ED125" s="58"/>
      <c r="EE125" s="58">
        <f t="shared" ref="EE125:EN130" si="287">100*G125/($G125+$H125+$I125+$J125+$K125+$L125+$M125+$N125+$O125+$P125)</f>
        <v>50.011759926446999</v>
      </c>
      <c r="EF125" s="58">
        <f t="shared" si="287"/>
        <v>0.94507045265025968</v>
      </c>
      <c r="EG125" s="58">
        <f t="shared" si="287"/>
        <v>12.476212876050374</v>
      </c>
      <c r="EH125" s="58">
        <f t="shared" si="287"/>
        <v>9.4613953687271479</v>
      </c>
      <c r="EI125" s="58">
        <f t="shared" si="287"/>
        <v>0.15394812803352645</v>
      </c>
      <c r="EJ125" s="58">
        <f t="shared" si="287"/>
        <v>11.738544762556392</v>
      </c>
      <c r="EK125" s="58">
        <f t="shared" si="287"/>
        <v>5.0460775299878122</v>
      </c>
      <c r="EL125" s="58">
        <f t="shared" si="287"/>
        <v>0.81250400906583409</v>
      </c>
      <c r="EM125" s="58">
        <f t="shared" si="287"/>
        <v>8.9375440997241746</v>
      </c>
      <c r="EN125" s="58">
        <f t="shared" si="287"/>
        <v>0.41694284675746751</v>
      </c>
      <c r="EO125" s="58">
        <f t="shared" ref="EO125:EO130" si="288">SUM(EE125:EN125)</f>
        <v>99.999999999999972</v>
      </c>
    </row>
    <row r="126" spans="1:145" s="48" customFormat="1">
      <c r="A126" s="71" t="s">
        <v>163</v>
      </c>
      <c r="B126" s="71">
        <v>9</v>
      </c>
      <c r="C126" s="103" t="s">
        <v>164</v>
      </c>
      <c r="D126" s="48" t="s">
        <v>271</v>
      </c>
      <c r="E126" s="104" t="s">
        <v>161</v>
      </c>
      <c r="F126" s="110"/>
      <c r="G126" s="111">
        <v>41.46</v>
      </c>
      <c r="H126" s="111">
        <v>0.84199999999999997</v>
      </c>
      <c r="I126" s="111">
        <v>10.18</v>
      </c>
      <c r="J126" s="111">
        <v>7.74</v>
      </c>
      <c r="K126" s="111">
        <v>0.13100000000000001</v>
      </c>
      <c r="L126" s="111">
        <v>12.11</v>
      </c>
      <c r="M126" s="111">
        <v>16.97</v>
      </c>
      <c r="N126" s="111">
        <v>0.96</v>
      </c>
      <c r="O126" s="111">
        <v>7</v>
      </c>
      <c r="P126" s="111">
        <v>0.46</v>
      </c>
      <c r="Q126" s="111">
        <v>0.67</v>
      </c>
      <c r="R126" s="111">
        <v>0.04</v>
      </c>
      <c r="S126" s="111">
        <f t="shared" si="246"/>
        <v>98.562999999999988</v>
      </c>
      <c r="T126" s="112"/>
      <c r="U126" s="54">
        <v>0.71058568195983896</v>
      </c>
      <c r="V126" s="55"/>
      <c r="W126" s="113">
        <v>18.759797081792509</v>
      </c>
      <c r="X126" s="113">
        <v>15.682379862039566</v>
      </c>
      <c r="Y126" s="113">
        <v>39.007003458129958</v>
      </c>
      <c r="Z126" s="113">
        <f t="shared" si="247"/>
        <v>2.0792870673419253</v>
      </c>
      <c r="AA126" s="113">
        <f t="shared" si="248"/>
        <v>0.83595679599648987</v>
      </c>
      <c r="AB126" s="113">
        <f t="shared" si="249"/>
        <v>15.781785837325835</v>
      </c>
      <c r="AC126" s="113">
        <f t="shared" si="250"/>
        <v>69.940878624281311</v>
      </c>
      <c r="AD126" s="111">
        <v>-8.7965599999999995</v>
      </c>
      <c r="AE126" s="58"/>
      <c r="AF126" s="58">
        <f t="shared" si="245"/>
        <v>0.77864333469579439</v>
      </c>
      <c r="AG126" s="109">
        <f t="shared" si="251"/>
        <v>5047.79</v>
      </c>
      <c r="AH126" s="109">
        <f t="shared" si="252"/>
        <v>58114</v>
      </c>
      <c r="AI126" s="109">
        <f t="shared" si="253"/>
        <v>2007.44</v>
      </c>
      <c r="AJ126" s="58">
        <f t="shared" si="254"/>
        <v>7.96</v>
      </c>
      <c r="AK126" s="58">
        <f t="shared" si="255"/>
        <v>7.291666666666667</v>
      </c>
      <c r="AL126" s="58">
        <f t="shared" si="256"/>
        <v>0.13714285714285715</v>
      </c>
      <c r="AM126" s="58">
        <f t="shared" si="257"/>
        <v>1.666994106090373</v>
      </c>
      <c r="AN126" s="58">
        <f t="shared" si="215"/>
        <v>0.68762278978389002</v>
      </c>
      <c r="AO126" s="58">
        <f t="shared" si="219"/>
        <v>0.89939983820820757</v>
      </c>
      <c r="AP126" s="58">
        <f t="shared" si="220"/>
        <v>1.1118525460180302</v>
      </c>
      <c r="AQ126" s="58">
        <f t="shared" si="221"/>
        <v>0.25444061717670419</v>
      </c>
      <c r="AR126" s="109">
        <f t="shared" si="258"/>
        <v>1690.8119192653289</v>
      </c>
      <c r="AS126" s="109">
        <f t="shared" si="259"/>
        <v>2571.669926961843</v>
      </c>
      <c r="AT126" s="109"/>
      <c r="AU126" s="58">
        <f t="shared" si="216"/>
        <v>0.1688374336710082</v>
      </c>
      <c r="AV126" s="58">
        <f t="shared" si="217"/>
        <v>0.74426772448370926</v>
      </c>
      <c r="AW126" s="112"/>
      <c r="AX126" s="114">
        <v>450</v>
      </c>
      <c r="AY126" s="114">
        <v>1912</v>
      </c>
      <c r="AZ126" s="114">
        <v>719</v>
      </c>
      <c r="BA126" s="115">
        <v>35.200000000000003</v>
      </c>
      <c r="BB126" s="114">
        <v>24</v>
      </c>
      <c r="BC126" s="114">
        <v>172</v>
      </c>
      <c r="BD126" s="114">
        <v>800</v>
      </c>
      <c r="BE126" s="114">
        <v>40</v>
      </c>
      <c r="BF126" s="114">
        <v>140</v>
      </c>
      <c r="BG126" s="114">
        <v>40</v>
      </c>
      <c r="BH126" s="114">
        <v>90</v>
      </c>
      <c r="BI126" s="112">
        <v>34</v>
      </c>
      <c r="BJ126" s="114">
        <v>406</v>
      </c>
      <c r="BK126" s="114">
        <v>16</v>
      </c>
      <c r="BL126" s="115">
        <v>10.3</v>
      </c>
      <c r="BM126" s="115">
        <v>0.8</v>
      </c>
      <c r="BN126" s="114">
        <v>95.4</v>
      </c>
      <c r="BO126" s="114">
        <v>214</v>
      </c>
      <c r="BP126" s="114">
        <v>26.3</v>
      </c>
      <c r="BQ126" s="114">
        <v>104</v>
      </c>
      <c r="BR126" s="115">
        <v>19.2</v>
      </c>
      <c r="BS126" s="115">
        <v>3.81</v>
      </c>
      <c r="BT126" s="115">
        <v>14.2</v>
      </c>
      <c r="BU126" s="115">
        <v>1.8</v>
      </c>
      <c r="BV126" s="115">
        <v>8.6999999999999993</v>
      </c>
      <c r="BW126" s="111">
        <v>1.4</v>
      </c>
      <c r="BX126" s="111">
        <v>3.5</v>
      </c>
      <c r="BY126" s="111">
        <v>0.48</v>
      </c>
      <c r="BZ126" s="115">
        <v>2.8</v>
      </c>
      <c r="CA126" s="111">
        <v>0.4</v>
      </c>
      <c r="CB126" s="114">
        <v>34</v>
      </c>
      <c r="CC126" s="114">
        <v>43.9</v>
      </c>
      <c r="CD126" s="115">
        <v>11.2</v>
      </c>
      <c r="CE126" s="115">
        <v>15</v>
      </c>
      <c r="CF126" s="114"/>
      <c r="CG126" s="61">
        <f t="shared" si="223"/>
        <v>394.21487603305786</v>
      </c>
      <c r="CH126" s="61">
        <f t="shared" si="224"/>
        <v>337.00787401574803</v>
      </c>
      <c r="CI126" s="61">
        <f t="shared" si="225"/>
        <v>273.10488058151611</v>
      </c>
      <c r="CJ126" s="61">
        <f t="shared" si="226"/>
        <v>216.66666666666669</v>
      </c>
      <c r="CK126" s="61">
        <f t="shared" si="227"/>
        <v>123.07692307692307</v>
      </c>
      <c r="CL126" s="61">
        <f t="shared" si="228"/>
        <v>64.467005076142129</v>
      </c>
      <c r="CM126" s="61">
        <f t="shared" si="229"/>
        <v>66.981132075471692</v>
      </c>
      <c r="CN126" s="61">
        <f t="shared" si="230"/>
        <v>47.872340425531917</v>
      </c>
      <c r="CO126" s="61">
        <f t="shared" si="231"/>
        <v>33.590733590733585</v>
      </c>
      <c r="CP126" s="61">
        <f t="shared" si="232"/>
        <v>23.931623931623928</v>
      </c>
      <c r="CQ126" s="61">
        <f t="shared" si="233"/>
        <v>21.472392638036808</v>
      </c>
      <c r="CR126" s="61">
        <f t="shared" si="234"/>
        <v>18.75</v>
      </c>
      <c r="CS126" s="61">
        <f t="shared" si="235"/>
        <v>16.867469879518069</v>
      </c>
      <c r="CT126" s="61">
        <f t="shared" si="236"/>
        <v>16.666666666666668</v>
      </c>
      <c r="CU126" s="61">
        <f t="shared" si="260"/>
        <v>44.9375</v>
      </c>
      <c r="CV126" s="61">
        <f t="shared" si="261"/>
        <v>7.5366876310272533</v>
      </c>
      <c r="CW126" s="61">
        <f t="shared" si="262"/>
        <v>5.9625000000000004</v>
      </c>
      <c r="CX126" s="109">
        <f t="shared" si="263"/>
        <v>315.486875</v>
      </c>
      <c r="CY126" s="61">
        <f t="shared" si="264"/>
        <v>6.2941176470588234</v>
      </c>
      <c r="CZ126" s="61">
        <f t="shared" si="265"/>
        <v>1.4285714285714286</v>
      </c>
      <c r="DA126" s="61">
        <f t="shared" si="266"/>
        <v>23.4375</v>
      </c>
      <c r="DB126" s="61">
        <f t="shared" si="267"/>
        <v>25.375</v>
      </c>
      <c r="DC126" s="61">
        <f t="shared" si="237"/>
        <v>16.378132118451024</v>
      </c>
      <c r="DD126" s="61">
        <f t="shared" si="268"/>
        <v>54.874999999999993</v>
      </c>
      <c r="DE126" s="61">
        <f t="shared" si="269"/>
        <v>0.28571428571428575</v>
      </c>
      <c r="DF126" s="61">
        <f t="shared" si="270"/>
        <v>15.678571428571429</v>
      </c>
      <c r="DG126" s="58">
        <f t="shared" si="271"/>
        <v>0.47058823529411764</v>
      </c>
      <c r="DH126" s="109">
        <f t="shared" si="272"/>
        <v>609.16142557651983</v>
      </c>
      <c r="DI126" s="58">
        <f t="shared" si="273"/>
        <v>7.7677009693731591E-2</v>
      </c>
      <c r="DJ126" s="61">
        <f t="shared" si="274"/>
        <v>238.5</v>
      </c>
      <c r="DK126" s="61">
        <f t="shared" si="275"/>
        <v>23.652892561983471</v>
      </c>
      <c r="DL126" s="61">
        <f t="shared" si="238"/>
        <v>3.2029958677685952</v>
      </c>
      <c r="DM126" s="61">
        <f t="shared" si="276"/>
        <v>34.071428571428577</v>
      </c>
      <c r="DN126" s="108">
        <f t="shared" si="239"/>
        <v>9.9038461538461547E-2</v>
      </c>
      <c r="DO126" s="61">
        <f t="shared" si="240"/>
        <v>6.8571428571428577</v>
      </c>
      <c r="DP126" s="109">
        <f t="shared" si="241"/>
        <v>682.85714285714289</v>
      </c>
      <c r="DQ126" s="61">
        <f t="shared" si="277"/>
        <v>18.384615384615383</v>
      </c>
      <c r="DR126" s="61">
        <f t="shared" si="278"/>
        <v>26.023175410597073</v>
      </c>
      <c r="DS126" s="58">
        <f t="shared" si="279"/>
        <v>0.70075411564496537</v>
      </c>
      <c r="DT126" s="63">
        <f t="shared" si="280"/>
        <v>5.2301255230125519E-4</v>
      </c>
      <c r="DU126" s="61">
        <f t="shared" si="281"/>
        <v>11.941176470588236</v>
      </c>
      <c r="DV126" s="61">
        <f t="shared" si="282"/>
        <v>20</v>
      </c>
      <c r="DW126" s="61">
        <f t="shared" si="283"/>
        <v>-0.65528939813341291</v>
      </c>
      <c r="DX126" s="61">
        <f t="shared" si="284"/>
        <v>3.9408866995073892</v>
      </c>
      <c r="DY126" s="61">
        <f t="shared" si="285"/>
        <v>10.812807881773399</v>
      </c>
      <c r="DZ126" s="58">
        <f t="shared" si="286"/>
        <v>0.90702615275487741</v>
      </c>
      <c r="EA126" s="63">
        <f t="shared" si="242"/>
        <v>0.36897274633123689</v>
      </c>
      <c r="EB126" s="58">
        <f t="shared" si="243"/>
        <v>2.7437499999999999</v>
      </c>
      <c r="EC126" s="58">
        <f t="shared" si="244"/>
        <v>0.77827247341871497</v>
      </c>
      <c r="ED126" s="58"/>
      <c r="EE126" s="58">
        <f t="shared" si="287"/>
        <v>42.36967696442624</v>
      </c>
      <c r="EF126" s="58">
        <f t="shared" si="287"/>
        <v>0.86047438504695839</v>
      </c>
      <c r="EG126" s="58">
        <f t="shared" si="287"/>
        <v>10.403360142254201</v>
      </c>
      <c r="EH126" s="58">
        <f t="shared" si="287"/>
        <v>7.9098239195528004</v>
      </c>
      <c r="EI126" s="58">
        <f t="shared" si="287"/>
        <v>0.1338742808089686</v>
      </c>
      <c r="EJ126" s="58">
        <f t="shared" si="287"/>
        <v>12.375706416768011</v>
      </c>
      <c r="EK126" s="58">
        <f t="shared" si="287"/>
        <v>17.342340040673257</v>
      </c>
      <c r="EL126" s="58">
        <f t="shared" si="287"/>
        <v>0.98106343188251788</v>
      </c>
      <c r="EM126" s="58">
        <f t="shared" si="287"/>
        <v>7.1535875241433597</v>
      </c>
      <c r="EN126" s="58">
        <f t="shared" si="287"/>
        <v>0.47009289444370644</v>
      </c>
      <c r="EO126" s="58">
        <f t="shared" si="288"/>
        <v>100.00000000000003</v>
      </c>
    </row>
    <row r="127" spans="1:145" s="48" customFormat="1">
      <c r="A127" s="71" t="s">
        <v>163</v>
      </c>
      <c r="B127" s="71">
        <v>9</v>
      </c>
      <c r="C127" s="103" t="s">
        <v>162</v>
      </c>
      <c r="D127" s="48" t="s">
        <v>271</v>
      </c>
      <c r="E127" s="104" t="s">
        <v>161</v>
      </c>
      <c r="F127" s="110"/>
      <c r="G127" s="111">
        <v>45.08</v>
      </c>
      <c r="H127" s="111">
        <v>0.81200000000000006</v>
      </c>
      <c r="I127" s="111">
        <v>11.01</v>
      </c>
      <c r="J127" s="111">
        <v>8.14</v>
      </c>
      <c r="K127" s="111">
        <v>0.13200000000000001</v>
      </c>
      <c r="L127" s="111">
        <v>14</v>
      </c>
      <c r="M127" s="111">
        <v>6.85</v>
      </c>
      <c r="N127" s="111">
        <v>0.42</v>
      </c>
      <c r="O127" s="111">
        <v>6.14</v>
      </c>
      <c r="P127" s="111">
        <v>0.43</v>
      </c>
      <c r="Q127" s="111">
        <v>5.59</v>
      </c>
      <c r="R127" s="111">
        <v>0.33</v>
      </c>
      <c r="S127" s="111">
        <f t="shared" si="246"/>
        <v>98.934000000000012</v>
      </c>
      <c r="T127" s="112"/>
      <c r="U127" s="54">
        <v>0.71052948262787718</v>
      </c>
      <c r="V127" s="55">
        <v>0.51204899999999998</v>
      </c>
      <c r="W127" s="113">
        <v>18.751993672097445</v>
      </c>
      <c r="X127" s="113">
        <v>15.669874694982141</v>
      </c>
      <c r="Y127" s="113">
        <v>38.953764145283991</v>
      </c>
      <c r="Z127" s="113">
        <f t="shared" si="247"/>
        <v>2.0773132087414439</v>
      </c>
      <c r="AA127" s="113">
        <f t="shared" si="248"/>
        <v>0.83563779771846713</v>
      </c>
      <c r="AB127" s="113">
        <f t="shared" si="249"/>
        <v>14.615858092677847</v>
      </c>
      <c r="AC127" s="113">
        <f t="shared" si="250"/>
        <v>65.560379571817862</v>
      </c>
      <c r="AD127" s="111">
        <v>-8.0307066666666671</v>
      </c>
      <c r="AE127" s="58"/>
      <c r="AF127" s="58">
        <f t="shared" si="245"/>
        <v>0.79452418697296812</v>
      </c>
      <c r="AG127" s="109">
        <f t="shared" si="251"/>
        <v>4867.9400000000005</v>
      </c>
      <c r="AH127" s="109">
        <f t="shared" si="252"/>
        <v>50974.28</v>
      </c>
      <c r="AI127" s="109">
        <f t="shared" si="253"/>
        <v>1876.52</v>
      </c>
      <c r="AJ127" s="58">
        <f t="shared" si="254"/>
        <v>6.56</v>
      </c>
      <c r="AK127" s="58">
        <f t="shared" si="255"/>
        <v>14.619047619047619</v>
      </c>
      <c r="AL127" s="58">
        <f t="shared" si="256"/>
        <v>6.8403908794788276E-2</v>
      </c>
      <c r="AM127" s="58">
        <f t="shared" si="257"/>
        <v>0.62216167120799282</v>
      </c>
      <c r="AN127" s="58">
        <f t="shared" si="215"/>
        <v>0.55767484105358767</v>
      </c>
      <c r="AO127" s="58">
        <f t="shared" si="219"/>
        <v>0.66636876259118383</v>
      </c>
      <c r="AP127" s="58">
        <f t="shared" si="220"/>
        <v>1.5006705838243177</v>
      </c>
      <c r="AQ127" s="58">
        <f t="shared" si="221"/>
        <v>0.55631849733370209</v>
      </c>
      <c r="AR127" s="109">
        <f t="shared" si="258"/>
        <v>2244.3134164215958</v>
      </c>
      <c r="AS127" s="109">
        <f t="shared" si="259"/>
        <v>1650.9925415029768</v>
      </c>
      <c r="AT127" s="109"/>
      <c r="AU127" s="58">
        <f t="shared" si="216"/>
        <v>0.13620230700976044</v>
      </c>
      <c r="AV127" s="58">
        <f t="shared" si="217"/>
        <v>0.60361493411702538</v>
      </c>
      <c r="AW127" s="112"/>
      <c r="AX127" s="114">
        <v>625</v>
      </c>
      <c r="AY127" s="114">
        <v>329</v>
      </c>
      <c r="AZ127" s="114">
        <v>718</v>
      </c>
      <c r="BA127" s="115">
        <v>39.5</v>
      </c>
      <c r="BB127" s="114">
        <v>24</v>
      </c>
      <c r="BC127" s="114">
        <v>165</v>
      </c>
      <c r="BD127" s="114">
        <v>850</v>
      </c>
      <c r="BE127" s="114">
        <v>40</v>
      </c>
      <c r="BF127" s="114">
        <v>160</v>
      </c>
      <c r="BG127" s="114">
        <v>30</v>
      </c>
      <c r="BH127" s="114">
        <v>100</v>
      </c>
      <c r="BI127" s="112">
        <v>33</v>
      </c>
      <c r="BJ127" s="114">
        <v>383</v>
      </c>
      <c r="BK127" s="114">
        <v>16</v>
      </c>
      <c r="BL127" s="115">
        <v>9.4</v>
      </c>
      <c r="BM127" s="115">
        <v>0.8</v>
      </c>
      <c r="BN127" s="114">
        <v>94.3</v>
      </c>
      <c r="BO127" s="114">
        <v>200</v>
      </c>
      <c r="BP127" s="114">
        <v>25.5</v>
      </c>
      <c r="BQ127" s="114">
        <v>102</v>
      </c>
      <c r="BR127" s="115">
        <v>18.7</v>
      </c>
      <c r="BS127" s="115">
        <v>3.67</v>
      </c>
      <c r="BT127" s="115">
        <v>13.3</v>
      </c>
      <c r="BU127" s="115">
        <v>1.7</v>
      </c>
      <c r="BV127" s="115">
        <v>8.1999999999999993</v>
      </c>
      <c r="BW127" s="111">
        <v>1.3</v>
      </c>
      <c r="BX127" s="111">
        <v>3.3</v>
      </c>
      <c r="BY127" s="111">
        <v>0.43</v>
      </c>
      <c r="BZ127" s="115">
        <v>2.6</v>
      </c>
      <c r="CA127" s="111">
        <v>0.37</v>
      </c>
      <c r="CB127" s="114">
        <v>11</v>
      </c>
      <c r="CC127" s="114">
        <v>41.3</v>
      </c>
      <c r="CD127" s="115">
        <v>9.8000000000000007</v>
      </c>
      <c r="CE127" s="115">
        <v>15</v>
      </c>
      <c r="CF127" s="114"/>
      <c r="CG127" s="61">
        <f t="shared" si="223"/>
        <v>389.6694214876033</v>
      </c>
      <c r="CH127" s="61">
        <f t="shared" si="224"/>
        <v>314.96062992125985</v>
      </c>
      <c r="CI127" s="61">
        <f t="shared" si="225"/>
        <v>264.79750778816202</v>
      </c>
      <c r="CJ127" s="61">
        <f t="shared" si="226"/>
        <v>212.5</v>
      </c>
      <c r="CK127" s="61">
        <f t="shared" si="227"/>
        <v>119.87179487179486</v>
      </c>
      <c r="CL127" s="61">
        <f t="shared" si="228"/>
        <v>62.098138747884938</v>
      </c>
      <c r="CM127" s="61">
        <f t="shared" si="229"/>
        <v>62.735849056603776</v>
      </c>
      <c r="CN127" s="61">
        <f t="shared" si="230"/>
        <v>45.212765957446805</v>
      </c>
      <c r="CO127" s="61">
        <f t="shared" si="231"/>
        <v>31.660231660231656</v>
      </c>
      <c r="CP127" s="61">
        <f t="shared" si="232"/>
        <v>22.222222222222221</v>
      </c>
      <c r="CQ127" s="61">
        <f t="shared" si="233"/>
        <v>20.245398773006134</v>
      </c>
      <c r="CR127" s="61">
        <f t="shared" si="234"/>
        <v>16.796875</v>
      </c>
      <c r="CS127" s="61">
        <f t="shared" si="235"/>
        <v>15.662650602409638</v>
      </c>
      <c r="CT127" s="61">
        <f t="shared" si="236"/>
        <v>15.416666666666666</v>
      </c>
      <c r="CU127" s="61">
        <f t="shared" si="260"/>
        <v>44.875</v>
      </c>
      <c r="CV127" s="61">
        <f t="shared" si="261"/>
        <v>7.6139978791092258</v>
      </c>
      <c r="CW127" s="61">
        <f t="shared" si="262"/>
        <v>5.8937499999999998</v>
      </c>
      <c r="CX127" s="109">
        <f t="shared" si="263"/>
        <v>304.24625000000003</v>
      </c>
      <c r="CY127" s="61">
        <f t="shared" si="264"/>
        <v>18.181818181818183</v>
      </c>
      <c r="CZ127" s="61">
        <f t="shared" si="265"/>
        <v>1.6326530612244896</v>
      </c>
      <c r="DA127" s="61">
        <f t="shared" si="266"/>
        <v>33.422459893048128</v>
      </c>
      <c r="DB127" s="61">
        <f t="shared" si="267"/>
        <v>23.9375</v>
      </c>
      <c r="DC127" s="61">
        <f t="shared" si="237"/>
        <v>17.384987893462473</v>
      </c>
      <c r="DD127" s="61">
        <f t="shared" si="268"/>
        <v>51.624999999999993</v>
      </c>
      <c r="DE127" s="61">
        <f t="shared" si="269"/>
        <v>0.30769230769230771</v>
      </c>
      <c r="DF127" s="61">
        <f t="shared" si="270"/>
        <v>15.884615384615383</v>
      </c>
      <c r="DG127" s="58">
        <f t="shared" si="271"/>
        <v>0.48484848484848486</v>
      </c>
      <c r="DH127" s="109">
        <f t="shared" si="272"/>
        <v>540.55440084835629</v>
      </c>
      <c r="DI127" s="58">
        <f t="shared" si="273"/>
        <v>8.8665222094508361E-2</v>
      </c>
      <c r="DJ127" s="61">
        <f t="shared" si="274"/>
        <v>254.86486486486487</v>
      </c>
      <c r="DK127" s="61">
        <f t="shared" si="275"/>
        <v>25.275854366763458</v>
      </c>
      <c r="DL127" s="61">
        <f t="shared" si="238"/>
        <v>3.2507181685596858</v>
      </c>
      <c r="DM127" s="61">
        <f t="shared" si="276"/>
        <v>36.269230769230766</v>
      </c>
      <c r="DN127" s="108">
        <f t="shared" si="239"/>
        <v>9.2156862745098045E-2</v>
      </c>
      <c r="DO127" s="61">
        <f t="shared" si="240"/>
        <v>7.1923076923076916</v>
      </c>
      <c r="DP127" s="109">
        <f t="shared" si="241"/>
        <v>126.53846153846153</v>
      </c>
      <c r="DQ127" s="61">
        <f t="shared" si="277"/>
        <v>3.2254901960784315</v>
      </c>
      <c r="DR127" s="61">
        <f t="shared" si="278"/>
        <v>4.6883115284006722</v>
      </c>
      <c r="DS127" s="58">
        <f t="shared" si="279"/>
        <v>0.70673224797627809</v>
      </c>
      <c r="DT127" s="63">
        <f t="shared" si="280"/>
        <v>3.0395136778115501E-3</v>
      </c>
      <c r="DU127" s="61">
        <f t="shared" si="281"/>
        <v>11.606060606060606</v>
      </c>
      <c r="DV127" s="61">
        <f t="shared" si="282"/>
        <v>20</v>
      </c>
      <c r="DW127" s="61">
        <f t="shared" si="283"/>
        <v>-0.61858883867617465</v>
      </c>
      <c r="DX127" s="61">
        <f t="shared" si="284"/>
        <v>4.1775456919060057</v>
      </c>
      <c r="DY127" s="61">
        <f t="shared" si="285"/>
        <v>10.783289817232376</v>
      </c>
      <c r="DZ127" s="58">
        <f t="shared" si="286"/>
        <v>2.2384446097371491</v>
      </c>
      <c r="EA127" s="63">
        <f t="shared" si="242"/>
        <v>0.41887592788971367</v>
      </c>
      <c r="EB127" s="58">
        <f t="shared" si="243"/>
        <v>2.5812499999999998</v>
      </c>
      <c r="EC127" s="58">
        <f t="shared" si="244"/>
        <v>0.2645118367452059</v>
      </c>
      <c r="ED127" s="58"/>
      <c r="EE127" s="58">
        <f t="shared" si="287"/>
        <v>48.465822349323751</v>
      </c>
      <c r="EF127" s="58">
        <f t="shared" si="287"/>
        <v>0.87298686219278809</v>
      </c>
      <c r="EG127" s="58">
        <f t="shared" si="287"/>
        <v>11.836927774313542</v>
      </c>
      <c r="EH127" s="58">
        <f t="shared" si="287"/>
        <v>8.7513707613907581</v>
      </c>
      <c r="EI127" s="58">
        <f t="shared" si="287"/>
        <v>0.14191412045498528</v>
      </c>
      <c r="EJ127" s="58">
        <f t="shared" si="287"/>
        <v>15.051497624013587</v>
      </c>
      <c r="EK127" s="58">
        <f t="shared" si="287"/>
        <v>7.3644827660352199</v>
      </c>
      <c r="EL127" s="58">
        <f t="shared" si="287"/>
        <v>0.45154492872040763</v>
      </c>
      <c r="EM127" s="58">
        <f t="shared" si="287"/>
        <v>6.6011568151031019</v>
      </c>
      <c r="EN127" s="58">
        <f t="shared" si="287"/>
        <v>0.46229599845184594</v>
      </c>
      <c r="EO127" s="58">
        <f t="shared" si="288"/>
        <v>100</v>
      </c>
    </row>
    <row r="128" spans="1:145" s="48" customFormat="1">
      <c r="A128" s="48" t="s">
        <v>158</v>
      </c>
      <c r="B128" s="48">
        <v>8</v>
      </c>
      <c r="C128" s="103" t="s">
        <v>160</v>
      </c>
      <c r="D128" s="103" t="s">
        <v>272</v>
      </c>
      <c r="E128" s="104" t="s">
        <v>156</v>
      </c>
      <c r="G128" s="111">
        <v>43.6</v>
      </c>
      <c r="H128" s="111">
        <v>1.0940000000000001</v>
      </c>
      <c r="I128" s="111">
        <v>6.59</v>
      </c>
      <c r="J128" s="111">
        <v>7.06</v>
      </c>
      <c r="K128" s="111">
        <v>0.113</v>
      </c>
      <c r="L128" s="111">
        <v>9.94</v>
      </c>
      <c r="M128" s="111">
        <v>15.86</v>
      </c>
      <c r="N128" s="111">
        <v>0.38</v>
      </c>
      <c r="O128" s="111">
        <v>7.57</v>
      </c>
      <c r="P128" s="111">
        <v>1.18</v>
      </c>
      <c r="Q128" s="111">
        <v>4.34</v>
      </c>
      <c r="R128" s="111">
        <v>0.1</v>
      </c>
      <c r="S128" s="111">
        <f t="shared" si="246"/>
        <v>97.826999999999998</v>
      </c>
      <c r="T128" s="112"/>
      <c r="U128" s="54">
        <v>0.71124814166666683</v>
      </c>
      <c r="V128" s="55">
        <v>0.51200307560000002</v>
      </c>
      <c r="W128" s="116">
        <v>18.758723026718084</v>
      </c>
      <c r="X128" s="116">
        <v>15.681626556242206</v>
      </c>
      <c r="Y128" s="116">
        <v>38.994447316379869</v>
      </c>
      <c r="Z128" s="116">
        <f t="shared" si="247"/>
        <v>2.0787367701330206</v>
      </c>
      <c r="AA128" s="116">
        <f t="shared" si="248"/>
        <v>0.83596450216290508</v>
      </c>
      <c r="AB128" s="113">
        <f t="shared" si="249"/>
        <v>15.718098014596649</v>
      </c>
      <c r="AC128" s="113">
        <f t="shared" si="250"/>
        <v>68.815117707770668</v>
      </c>
      <c r="AD128" s="111">
        <v>-7.6975233333333337</v>
      </c>
      <c r="AE128" s="58"/>
      <c r="AF128" s="58">
        <f t="shared" si="245"/>
        <v>0.75992528270144122</v>
      </c>
      <c r="AG128" s="109">
        <f t="shared" si="251"/>
        <v>6558.5300000000007</v>
      </c>
      <c r="AH128" s="109">
        <f t="shared" si="252"/>
        <v>62846.14</v>
      </c>
      <c r="AI128" s="109">
        <f t="shared" si="253"/>
        <v>5149.5199999999995</v>
      </c>
      <c r="AJ128" s="58">
        <f t="shared" si="254"/>
        <v>7.95</v>
      </c>
      <c r="AK128" s="58">
        <f t="shared" si="255"/>
        <v>19.921052631578949</v>
      </c>
      <c r="AL128" s="58">
        <f t="shared" si="256"/>
        <v>5.0198150594451783E-2</v>
      </c>
      <c r="AM128" s="58">
        <f t="shared" si="257"/>
        <v>2.4066767830045523</v>
      </c>
      <c r="AN128" s="58">
        <f t="shared" si="215"/>
        <v>1.1487101669195752</v>
      </c>
      <c r="AO128" s="58">
        <f t="shared" si="219"/>
        <v>1.3381970605744931</v>
      </c>
      <c r="AP128" s="58">
        <f t="shared" si="220"/>
        <v>0.74727409696348923</v>
      </c>
      <c r="AQ128" s="58">
        <f t="shared" si="221"/>
        <v>0.1750143563214536</v>
      </c>
      <c r="AR128" s="109">
        <f t="shared" si="258"/>
        <v>1965.5509366451995</v>
      </c>
      <c r="AS128" s="109">
        <f t="shared" si="259"/>
        <v>2414.4635376157789</v>
      </c>
      <c r="AT128" s="109"/>
      <c r="AU128" s="58">
        <f t="shared" si="216"/>
        <v>0.17362385321100918</v>
      </c>
      <c r="AV128" s="58">
        <f t="shared" si="217"/>
        <v>1.2433385203728224</v>
      </c>
      <c r="AW128" s="112"/>
      <c r="AX128" s="112">
        <v>613</v>
      </c>
      <c r="AY128" s="112">
        <v>3575</v>
      </c>
      <c r="AZ128" s="112">
        <v>3793</v>
      </c>
      <c r="BA128" s="112">
        <v>75.3</v>
      </c>
      <c r="BB128" s="112">
        <v>16</v>
      </c>
      <c r="BC128" s="112">
        <v>103</v>
      </c>
      <c r="BD128" s="112">
        <v>60</v>
      </c>
      <c r="BE128" s="112">
        <v>37</v>
      </c>
      <c r="BF128" s="112">
        <v>170</v>
      </c>
      <c r="BG128" s="112">
        <v>150</v>
      </c>
      <c r="BH128" s="112">
        <v>180</v>
      </c>
      <c r="BI128" s="112">
        <v>45</v>
      </c>
      <c r="BJ128" s="112">
        <v>662</v>
      </c>
      <c r="BK128" s="112">
        <v>47</v>
      </c>
      <c r="BL128" s="112">
        <v>20.7</v>
      </c>
      <c r="BM128" s="112">
        <v>3.2</v>
      </c>
      <c r="BN128" s="112">
        <v>281</v>
      </c>
      <c r="BO128" s="112">
        <v>570</v>
      </c>
      <c r="BP128" s="112">
        <v>64.400000000000006</v>
      </c>
      <c r="BQ128" s="112">
        <v>239</v>
      </c>
      <c r="BR128" s="112">
        <v>41.9</v>
      </c>
      <c r="BS128" s="112">
        <v>7.68</v>
      </c>
      <c r="BT128" s="112">
        <v>27.4</v>
      </c>
      <c r="BU128" s="112">
        <v>3</v>
      </c>
      <c r="BV128" s="112">
        <v>12.9</v>
      </c>
      <c r="BW128" s="112">
        <v>1.8</v>
      </c>
      <c r="BX128" s="112">
        <v>3.9</v>
      </c>
      <c r="BY128" s="112">
        <v>0.44</v>
      </c>
      <c r="BZ128" s="112">
        <v>2.6</v>
      </c>
      <c r="CA128" s="112">
        <v>0.36</v>
      </c>
      <c r="CB128" s="112">
        <v>157</v>
      </c>
      <c r="CC128" s="112">
        <v>130</v>
      </c>
      <c r="CD128" s="112">
        <v>29.1</v>
      </c>
      <c r="CE128" s="112">
        <v>19</v>
      </c>
      <c r="CF128" s="114"/>
      <c r="CG128" s="61">
        <f t="shared" si="223"/>
        <v>1161.1570247933885</v>
      </c>
      <c r="CH128" s="61">
        <f t="shared" si="224"/>
        <v>897.63779527559052</v>
      </c>
      <c r="CI128" s="61">
        <f t="shared" si="225"/>
        <v>668.74350986500531</v>
      </c>
      <c r="CJ128" s="61">
        <f t="shared" si="226"/>
        <v>497.91666666666669</v>
      </c>
      <c r="CK128" s="61">
        <f t="shared" si="227"/>
        <v>268.58974358974359</v>
      </c>
      <c r="CL128" s="61">
        <f t="shared" si="228"/>
        <v>129.94923857868019</v>
      </c>
      <c r="CM128" s="61">
        <f t="shared" si="229"/>
        <v>129.24528301886792</v>
      </c>
      <c r="CN128" s="61">
        <f t="shared" si="230"/>
        <v>79.787234042553195</v>
      </c>
      <c r="CO128" s="61">
        <f t="shared" si="231"/>
        <v>49.80694980694981</v>
      </c>
      <c r="CP128" s="61">
        <f t="shared" si="232"/>
        <v>30.769230769230766</v>
      </c>
      <c r="CQ128" s="61">
        <f t="shared" si="233"/>
        <v>23.926380368098158</v>
      </c>
      <c r="CR128" s="61">
        <f t="shared" si="234"/>
        <v>17.1875</v>
      </c>
      <c r="CS128" s="61">
        <f t="shared" si="235"/>
        <v>15.662650602409638</v>
      </c>
      <c r="CT128" s="61">
        <f t="shared" si="236"/>
        <v>15</v>
      </c>
      <c r="CU128" s="61">
        <f t="shared" si="260"/>
        <v>80.702127659574472</v>
      </c>
      <c r="CV128" s="61">
        <f t="shared" si="261"/>
        <v>13.498220640569395</v>
      </c>
      <c r="CW128" s="61">
        <f t="shared" si="262"/>
        <v>5.9787234042553195</v>
      </c>
      <c r="CX128" s="109">
        <f t="shared" si="263"/>
        <v>139.5431914893617</v>
      </c>
      <c r="CY128" s="61">
        <f t="shared" si="264"/>
        <v>3.6305732484076434</v>
      </c>
      <c r="CZ128" s="61">
        <f t="shared" si="265"/>
        <v>1.6151202749140892</v>
      </c>
      <c r="DA128" s="61">
        <f t="shared" si="266"/>
        <v>14.630071599045346</v>
      </c>
      <c r="DB128" s="61">
        <f t="shared" si="267"/>
        <v>14.085106382978724</v>
      </c>
      <c r="DC128" s="61">
        <f t="shared" si="237"/>
        <v>29.176923076923078</v>
      </c>
      <c r="DD128" s="61">
        <f t="shared" si="268"/>
        <v>40.625</v>
      </c>
      <c r="DE128" s="61">
        <f t="shared" si="269"/>
        <v>1.2307692307692308</v>
      </c>
      <c r="DF128" s="61">
        <f t="shared" si="270"/>
        <v>50</v>
      </c>
      <c r="DG128" s="58">
        <f t="shared" si="271"/>
        <v>1.0444444444444445</v>
      </c>
      <c r="DH128" s="109">
        <f t="shared" si="272"/>
        <v>223.65174377224199</v>
      </c>
      <c r="DI128" s="58">
        <f t="shared" si="273"/>
        <v>0.13612377067908155</v>
      </c>
      <c r="DJ128" s="61">
        <f t="shared" si="274"/>
        <v>780.55555555555554</v>
      </c>
      <c r="DK128" s="61">
        <f t="shared" si="275"/>
        <v>77.410468319559229</v>
      </c>
      <c r="DL128" s="61">
        <f t="shared" si="238"/>
        <v>4.3231621925481765</v>
      </c>
      <c r="DM128" s="61">
        <f t="shared" si="276"/>
        <v>108.07692307692308</v>
      </c>
      <c r="DN128" s="108">
        <f t="shared" si="239"/>
        <v>8.6610878661087867E-2</v>
      </c>
      <c r="DO128" s="61">
        <f t="shared" si="240"/>
        <v>16.115384615384613</v>
      </c>
      <c r="DP128" s="109">
        <f t="shared" si="241"/>
        <v>1375</v>
      </c>
      <c r="DQ128" s="61">
        <f t="shared" si="277"/>
        <v>14.9581589958159</v>
      </c>
      <c r="DR128" s="61">
        <f t="shared" si="278"/>
        <v>23.711604416072028</v>
      </c>
      <c r="DS128" s="58">
        <f t="shared" si="279"/>
        <v>0.68835804919838661</v>
      </c>
      <c r="DT128" s="63">
        <f t="shared" si="280"/>
        <v>2.7972027972027972E-4</v>
      </c>
      <c r="DU128" s="61">
        <f t="shared" si="281"/>
        <v>14.71111111111111</v>
      </c>
      <c r="DV128" s="61">
        <f t="shared" si="282"/>
        <v>14.6875</v>
      </c>
      <c r="DW128" s="61">
        <f t="shared" si="283"/>
        <v>-0.48299396911518988</v>
      </c>
      <c r="DX128" s="61">
        <f t="shared" si="284"/>
        <v>7.0996978851963748</v>
      </c>
      <c r="DY128" s="61">
        <f t="shared" si="285"/>
        <v>19.637462235649547</v>
      </c>
      <c r="DZ128" s="58">
        <f t="shared" si="286"/>
        <v>0.47505152070027268</v>
      </c>
      <c r="EA128" s="63">
        <f t="shared" si="242"/>
        <v>0.2679715302491103</v>
      </c>
      <c r="EB128" s="58">
        <f t="shared" si="243"/>
        <v>2.7659574468085109</v>
      </c>
      <c r="EC128" s="58">
        <f t="shared" si="244"/>
        <v>1.4072031707207262</v>
      </c>
      <c r="ED128" s="58"/>
      <c r="EE128" s="58">
        <f t="shared" si="287"/>
        <v>46.687440436034997</v>
      </c>
      <c r="EF128" s="58">
        <f t="shared" si="287"/>
        <v>1.1714692623170249</v>
      </c>
      <c r="EG128" s="58">
        <f t="shared" si="287"/>
        <v>7.0566567081071243</v>
      </c>
      <c r="EH128" s="58">
        <f t="shared" si="287"/>
        <v>7.5599387495047488</v>
      </c>
      <c r="EI128" s="58">
        <f t="shared" si="287"/>
        <v>0.12100185250623749</v>
      </c>
      <c r="EJ128" s="58">
        <f t="shared" si="287"/>
        <v>10.643879769132749</v>
      </c>
      <c r="EK128" s="58">
        <f t="shared" si="287"/>
        <v>16.983091865034748</v>
      </c>
      <c r="EL128" s="58">
        <f t="shared" si="287"/>
        <v>0.40690888453424995</v>
      </c>
      <c r="EM128" s="58">
        <f t="shared" si="287"/>
        <v>8.1060533050638739</v>
      </c>
      <c r="EN128" s="58">
        <f t="shared" si="287"/>
        <v>1.2635591677642499</v>
      </c>
      <c r="EO128" s="58">
        <f t="shared" si="288"/>
        <v>100.00000000000001</v>
      </c>
    </row>
    <row r="129" spans="1:145" s="48" customFormat="1">
      <c r="A129" s="48" t="s">
        <v>158</v>
      </c>
      <c r="B129" s="48">
        <v>8</v>
      </c>
      <c r="C129" s="103" t="s">
        <v>159</v>
      </c>
      <c r="D129" s="103" t="s">
        <v>272</v>
      </c>
      <c r="E129" s="104" t="s">
        <v>156</v>
      </c>
      <c r="G129" s="111">
        <v>43.71</v>
      </c>
      <c r="H129" s="111">
        <v>1.1160000000000001</v>
      </c>
      <c r="I129" s="111">
        <v>6.75</v>
      </c>
      <c r="J129" s="111">
        <v>7.19</v>
      </c>
      <c r="K129" s="111">
        <v>0.115</v>
      </c>
      <c r="L129" s="111">
        <v>10.45</v>
      </c>
      <c r="M129" s="111">
        <v>15.28</v>
      </c>
      <c r="N129" s="111">
        <v>0.26</v>
      </c>
      <c r="O129" s="111">
        <v>6.27</v>
      </c>
      <c r="P129" s="111">
        <v>1.1599999999999999</v>
      </c>
      <c r="Q129" s="111">
        <v>5.4</v>
      </c>
      <c r="R129" s="111">
        <v>0.13</v>
      </c>
      <c r="S129" s="111">
        <f t="shared" si="246"/>
        <v>97.831000000000003</v>
      </c>
      <c r="T129" s="112"/>
      <c r="U129" s="54">
        <v>0.71122577166666689</v>
      </c>
      <c r="V129" s="55">
        <v>0.51206600000000002</v>
      </c>
      <c r="W129" s="116">
        <v>18.759808667325913</v>
      </c>
      <c r="X129" s="116">
        <v>15.679626446659233</v>
      </c>
      <c r="Y129" s="116">
        <v>38.990554895221443</v>
      </c>
      <c r="Z129" s="116">
        <f t="shared" si="247"/>
        <v>2.0784089852223047</v>
      </c>
      <c r="AA129" s="116">
        <f t="shared" si="248"/>
        <v>0.83580950769335649</v>
      </c>
      <c r="AB129" s="113">
        <f t="shared" si="249"/>
        <v>15.506318712110456</v>
      </c>
      <c r="AC129" s="113">
        <f t="shared" si="250"/>
        <v>68.2946216424412</v>
      </c>
      <c r="AD129" s="111">
        <v>-7.6428666666666665</v>
      </c>
      <c r="AE129" s="58"/>
      <c r="AF129" s="58">
        <f t="shared" si="245"/>
        <v>0.76567679410355771</v>
      </c>
      <c r="AG129" s="109">
        <f t="shared" si="251"/>
        <v>6690.420000000001</v>
      </c>
      <c r="AH129" s="109">
        <f t="shared" si="252"/>
        <v>52053.539999999994</v>
      </c>
      <c r="AI129" s="109">
        <f t="shared" si="253"/>
        <v>5062.24</v>
      </c>
      <c r="AJ129" s="58">
        <f t="shared" si="254"/>
        <v>6.5299999999999994</v>
      </c>
      <c r="AK129" s="58">
        <f t="shared" si="255"/>
        <v>24.115384615384613</v>
      </c>
      <c r="AL129" s="58">
        <f t="shared" si="256"/>
        <v>4.1467304625199368E-2</v>
      </c>
      <c r="AM129" s="58">
        <f t="shared" si="257"/>
        <v>2.2637037037037038</v>
      </c>
      <c r="AN129" s="58">
        <f t="shared" si="215"/>
        <v>0.92888888888888888</v>
      </c>
      <c r="AO129" s="58">
        <f t="shared" si="219"/>
        <v>1.06877358805255</v>
      </c>
      <c r="AP129" s="58">
        <f t="shared" si="220"/>
        <v>0.93565186413535473</v>
      </c>
      <c r="AQ129" s="58">
        <f t="shared" si="221"/>
        <v>0.19288442713752138</v>
      </c>
      <c r="AR129" s="109">
        <f t="shared" si="258"/>
        <v>2181.7915684355289</v>
      </c>
      <c r="AS129" s="109">
        <f t="shared" si="259"/>
        <v>2404.7629734639418</v>
      </c>
      <c r="AT129" s="109"/>
      <c r="AU129" s="58">
        <f t="shared" si="216"/>
        <v>0.14344543582704186</v>
      </c>
      <c r="AV129" s="58">
        <f t="shared" si="217"/>
        <v>1.0054088228355742</v>
      </c>
      <c r="AW129" s="112"/>
      <c r="AX129" s="112">
        <v>673</v>
      </c>
      <c r="AY129" s="112">
        <v>4146</v>
      </c>
      <c r="AZ129" s="112">
        <v>3614</v>
      </c>
      <c r="BA129" s="112">
        <v>108</v>
      </c>
      <c r="BB129" s="112">
        <v>16</v>
      </c>
      <c r="BC129" s="112">
        <v>48</v>
      </c>
      <c r="BD129" s="112">
        <v>60</v>
      </c>
      <c r="BE129" s="112">
        <v>35</v>
      </c>
      <c r="BF129" s="112">
        <v>80</v>
      </c>
      <c r="BG129" s="112">
        <v>40</v>
      </c>
      <c r="BH129" s="112">
        <v>130</v>
      </c>
      <c r="BI129" s="112">
        <v>46</v>
      </c>
      <c r="BJ129" s="112">
        <v>575</v>
      </c>
      <c r="BK129" s="112">
        <v>47</v>
      </c>
      <c r="BL129" s="112">
        <v>17.7</v>
      </c>
      <c r="BM129" s="112">
        <v>3.3</v>
      </c>
      <c r="BN129" s="112">
        <v>291</v>
      </c>
      <c r="BO129" s="112">
        <v>589</v>
      </c>
      <c r="BP129" s="112">
        <v>66.8</v>
      </c>
      <c r="BQ129" s="112">
        <v>250</v>
      </c>
      <c r="BR129" s="112">
        <v>43.4</v>
      </c>
      <c r="BS129" s="112">
        <v>7.86</v>
      </c>
      <c r="BT129" s="112">
        <v>28.3</v>
      </c>
      <c r="BU129" s="112">
        <v>3</v>
      </c>
      <c r="BV129" s="112">
        <v>13.6</v>
      </c>
      <c r="BW129" s="112">
        <v>2</v>
      </c>
      <c r="BX129" s="112">
        <v>4.5</v>
      </c>
      <c r="BY129" s="112">
        <v>0.54</v>
      </c>
      <c r="BZ129" s="112">
        <v>2.8</v>
      </c>
      <c r="CA129" s="112">
        <v>0.37</v>
      </c>
      <c r="CB129" s="112">
        <v>159</v>
      </c>
      <c r="CC129" s="112">
        <v>135</v>
      </c>
      <c r="CD129" s="112">
        <v>30.4</v>
      </c>
      <c r="CE129" s="112">
        <v>20</v>
      </c>
      <c r="CF129" s="114"/>
      <c r="CG129" s="61">
        <f t="shared" si="223"/>
        <v>1202.4793388429753</v>
      </c>
      <c r="CH129" s="61">
        <f t="shared" si="224"/>
        <v>927.55905511811022</v>
      </c>
      <c r="CI129" s="61">
        <f t="shared" si="225"/>
        <v>693.66562824506752</v>
      </c>
      <c r="CJ129" s="61">
        <f t="shared" si="226"/>
        <v>520.83333333333337</v>
      </c>
      <c r="CK129" s="61">
        <f t="shared" si="227"/>
        <v>278.20512820512818</v>
      </c>
      <c r="CL129" s="61">
        <f t="shared" si="228"/>
        <v>132.99492385786803</v>
      </c>
      <c r="CM129" s="61">
        <f t="shared" si="229"/>
        <v>133.49056603773585</v>
      </c>
      <c r="CN129" s="61">
        <f t="shared" si="230"/>
        <v>79.787234042553195</v>
      </c>
      <c r="CO129" s="61">
        <f t="shared" si="231"/>
        <v>52.509652509652504</v>
      </c>
      <c r="CP129" s="61">
        <f t="shared" si="232"/>
        <v>34.188034188034187</v>
      </c>
      <c r="CQ129" s="61">
        <f t="shared" si="233"/>
        <v>27.607361963190183</v>
      </c>
      <c r="CR129" s="61">
        <f t="shared" si="234"/>
        <v>21.09375</v>
      </c>
      <c r="CS129" s="61">
        <f t="shared" si="235"/>
        <v>16.867469879518069</v>
      </c>
      <c r="CT129" s="61">
        <f t="shared" si="236"/>
        <v>15.416666666666666</v>
      </c>
      <c r="CU129" s="61">
        <f t="shared" si="260"/>
        <v>76.893617021276597</v>
      </c>
      <c r="CV129" s="61">
        <f t="shared" si="261"/>
        <v>12.419243986254296</v>
      </c>
      <c r="CW129" s="61">
        <f t="shared" si="262"/>
        <v>6.1914893617021276</v>
      </c>
      <c r="CX129" s="109">
        <f t="shared" si="263"/>
        <v>142.34936170212768</v>
      </c>
      <c r="CY129" s="61">
        <f t="shared" si="264"/>
        <v>3.7044025157232703</v>
      </c>
      <c r="CZ129" s="61">
        <f t="shared" si="265"/>
        <v>1.5460526315789473</v>
      </c>
      <c r="DA129" s="61">
        <f t="shared" si="266"/>
        <v>15.506912442396313</v>
      </c>
      <c r="DB129" s="61">
        <f t="shared" si="267"/>
        <v>12.23404255319149</v>
      </c>
      <c r="DC129" s="61">
        <f t="shared" si="237"/>
        <v>26.770370370370369</v>
      </c>
      <c r="DD129" s="61">
        <f t="shared" si="268"/>
        <v>40.909090909090914</v>
      </c>
      <c r="DE129" s="61">
        <f t="shared" si="269"/>
        <v>1.1785714285714286</v>
      </c>
      <c r="DF129" s="61">
        <f t="shared" si="270"/>
        <v>48.214285714285715</v>
      </c>
      <c r="DG129" s="58">
        <f t="shared" si="271"/>
        <v>1.0217391304347827</v>
      </c>
      <c r="DH129" s="109">
        <f t="shared" si="272"/>
        <v>178.87814432989688</v>
      </c>
      <c r="DI129" s="58">
        <f t="shared" si="273"/>
        <v>0.14633824513304919</v>
      </c>
      <c r="DJ129" s="61">
        <f t="shared" si="274"/>
        <v>786.48648648648646</v>
      </c>
      <c r="DK129" s="61">
        <f t="shared" si="275"/>
        <v>77.998659816841638</v>
      </c>
      <c r="DL129" s="61">
        <f t="shared" si="238"/>
        <v>4.322275964504704</v>
      </c>
      <c r="DM129" s="61">
        <f t="shared" si="276"/>
        <v>103.92857142857143</v>
      </c>
      <c r="DN129" s="108">
        <f t="shared" si="239"/>
        <v>7.0800000000000002E-2</v>
      </c>
      <c r="DO129" s="61">
        <f t="shared" si="240"/>
        <v>15.5</v>
      </c>
      <c r="DP129" s="109">
        <f t="shared" si="241"/>
        <v>1480.7142857142858</v>
      </c>
      <c r="DQ129" s="61">
        <f t="shared" si="277"/>
        <v>16.584</v>
      </c>
      <c r="DR129" s="61">
        <f t="shared" si="278"/>
        <v>26.586330727166033</v>
      </c>
      <c r="DS129" s="58">
        <f t="shared" si="279"/>
        <v>0.68111419510672955</v>
      </c>
      <c r="DT129" s="63">
        <f t="shared" si="280"/>
        <v>2.4119633381572601E-4</v>
      </c>
      <c r="DU129" s="61">
        <f t="shared" si="281"/>
        <v>12.5</v>
      </c>
      <c r="DV129" s="61">
        <f t="shared" si="282"/>
        <v>14.242424242424244</v>
      </c>
      <c r="DW129" s="61">
        <f t="shared" si="283"/>
        <v>-0.35672719872132497</v>
      </c>
      <c r="DX129" s="61">
        <f t="shared" si="284"/>
        <v>8.1739130434782616</v>
      </c>
      <c r="DY129" s="61">
        <f t="shared" si="285"/>
        <v>23.478260869565219</v>
      </c>
      <c r="DZ129" s="58">
        <f t="shared" si="286"/>
        <v>0.39928927971574446</v>
      </c>
      <c r="EA129" s="63">
        <f t="shared" si="242"/>
        <v>0.37113402061855671</v>
      </c>
      <c r="EB129" s="58">
        <f t="shared" si="243"/>
        <v>2.8723404255319149</v>
      </c>
      <c r="EC129" s="58">
        <f t="shared" si="244"/>
        <v>1.3765397591180097</v>
      </c>
      <c r="ED129" s="58"/>
      <c r="EE129" s="58">
        <f t="shared" si="287"/>
        <v>47.355933305164626</v>
      </c>
      <c r="EF129" s="58">
        <f t="shared" si="287"/>
        <v>1.209087658855267</v>
      </c>
      <c r="EG129" s="58">
        <f t="shared" si="287"/>
        <v>7.313030194689115</v>
      </c>
      <c r="EH129" s="58">
        <f t="shared" si="287"/>
        <v>7.7897314221947758</v>
      </c>
      <c r="EI129" s="58">
        <f t="shared" si="287"/>
        <v>0.12459236627988862</v>
      </c>
      <c r="EJ129" s="58">
        <f t="shared" si="287"/>
        <v>11.321654153259445</v>
      </c>
      <c r="EK129" s="58">
        <f t="shared" si="287"/>
        <v>16.554533537014766</v>
      </c>
      <c r="EL129" s="58">
        <f t="shared" si="287"/>
        <v>0.28168708898061773</v>
      </c>
      <c r="EM129" s="58">
        <f t="shared" si="287"/>
        <v>6.7929924919556663</v>
      </c>
      <c r="EN129" s="58">
        <f t="shared" si="287"/>
        <v>1.2567577816058328</v>
      </c>
      <c r="EO129" s="58">
        <f t="shared" si="288"/>
        <v>100</v>
      </c>
    </row>
    <row r="130" spans="1:145" s="48" customFormat="1">
      <c r="A130" s="48" t="s">
        <v>158</v>
      </c>
      <c r="B130" s="48">
        <v>8</v>
      </c>
      <c r="C130" s="103" t="s">
        <v>157</v>
      </c>
      <c r="D130" s="103" t="s">
        <v>272</v>
      </c>
      <c r="E130" s="104" t="s">
        <v>156</v>
      </c>
      <c r="G130" s="111">
        <v>44.06</v>
      </c>
      <c r="H130" s="111">
        <v>1.097</v>
      </c>
      <c r="I130" s="111">
        <v>6.79</v>
      </c>
      <c r="J130" s="111">
        <v>7.16</v>
      </c>
      <c r="K130" s="111">
        <v>0.11700000000000001</v>
      </c>
      <c r="L130" s="111">
        <v>9.86</v>
      </c>
      <c r="M130" s="111">
        <v>14.98</v>
      </c>
      <c r="N130" s="111">
        <v>0.4</v>
      </c>
      <c r="O130" s="111">
        <v>7.34</v>
      </c>
      <c r="P130" s="111">
        <v>1.1599999999999999</v>
      </c>
      <c r="Q130" s="111">
        <v>4.6399999999999997</v>
      </c>
      <c r="R130" s="111">
        <v>0.08</v>
      </c>
      <c r="S130" s="111">
        <f t="shared" si="246"/>
        <v>97.684000000000012</v>
      </c>
      <c r="T130" s="112"/>
      <c r="U130" s="54">
        <v>0.71125061166666692</v>
      </c>
      <c r="V130" s="55">
        <v>0.51202875000000003</v>
      </c>
      <c r="W130" s="116">
        <v>18.758029617555657</v>
      </c>
      <c r="X130" s="116">
        <v>15.680658018935393</v>
      </c>
      <c r="Y130" s="116">
        <v>38.991562781080674</v>
      </c>
      <c r="Z130" s="116">
        <f t="shared" si="247"/>
        <v>2.078659836670075</v>
      </c>
      <c r="AA130" s="116">
        <f t="shared" si="248"/>
        <v>0.83594377120824304</v>
      </c>
      <c r="AB130" s="113">
        <f t="shared" si="249"/>
        <v>15.628760839236122</v>
      </c>
      <c r="AC130" s="113">
        <f t="shared" si="250"/>
        <v>68.610497345588328</v>
      </c>
      <c r="AD130" s="111">
        <v>-7.8566833333333337</v>
      </c>
      <c r="AE130" s="58"/>
      <c r="AF130" s="58">
        <f t="shared" si="245"/>
        <v>0.75586180754416188</v>
      </c>
      <c r="AG130" s="109">
        <f t="shared" si="251"/>
        <v>6576.5149999999994</v>
      </c>
      <c r="AH130" s="109">
        <f t="shared" si="252"/>
        <v>60936.68</v>
      </c>
      <c r="AI130" s="109">
        <f t="shared" si="253"/>
        <v>5062.24</v>
      </c>
      <c r="AJ130" s="58">
        <f t="shared" si="254"/>
        <v>7.74</v>
      </c>
      <c r="AK130" s="58">
        <f t="shared" si="255"/>
        <v>18.349999999999998</v>
      </c>
      <c r="AL130" s="58">
        <f t="shared" si="256"/>
        <v>5.4495912806539516E-2</v>
      </c>
      <c r="AM130" s="58">
        <f t="shared" si="257"/>
        <v>2.2061855670103094</v>
      </c>
      <c r="AN130" s="58">
        <f t="shared" si="215"/>
        <v>1.08100147275405</v>
      </c>
      <c r="AO130" s="58">
        <f t="shared" si="219"/>
        <v>1.2669620977213416</v>
      </c>
      <c r="AP130" s="58">
        <f t="shared" si="220"/>
        <v>0.78928959421794964</v>
      </c>
      <c r="AQ130" s="58">
        <f t="shared" si="221"/>
        <v>0.18946335443392456</v>
      </c>
      <c r="AR130" s="109">
        <f t="shared" si="258"/>
        <v>2031.0825202667436</v>
      </c>
      <c r="AS130" s="109">
        <f t="shared" si="259"/>
        <v>2322.0119417678911</v>
      </c>
      <c r="AT130" s="109"/>
      <c r="AU130" s="58">
        <f t="shared" si="216"/>
        <v>0.16659101225601453</v>
      </c>
      <c r="AV130" s="58">
        <f t="shared" si="217"/>
        <v>1.170052124862027</v>
      </c>
      <c r="AW130" s="112"/>
      <c r="AX130" s="112">
        <v>537</v>
      </c>
      <c r="AY130" s="112">
        <v>3516</v>
      </c>
      <c r="AZ130" s="112">
        <v>3432</v>
      </c>
      <c r="BA130" s="112">
        <v>72.599999999999994</v>
      </c>
      <c r="BB130" s="112">
        <v>15</v>
      </c>
      <c r="BC130" s="112">
        <v>87</v>
      </c>
      <c r="BD130" s="112">
        <v>50</v>
      </c>
      <c r="BE130" s="112">
        <v>27</v>
      </c>
      <c r="BF130" s="112">
        <v>60</v>
      </c>
      <c r="BG130" s="112">
        <v>40</v>
      </c>
      <c r="BH130" s="112">
        <v>110</v>
      </c>
      <c r="BI130" s="112">
        <v>47</v>
      </c>
      <c r="BJ130" s="112">
        <v>838</v>
      </c>
      <c r="BK130" s="112">
        <v>48</v>
      </c>
      <c r="BL130" s="112">
        <v>23.5</v>
      </c>
      <c r="BM130" s="115">
        <v>3</v>
      </c>
      <c r="BN130" s="112">
        <v>256</v>
      </c>
      <c r="BO130" s="112">
        <v>524</v>
      </c>
      <c r="BP130" s="112">
        <v>61.4</v>
      </c>
      <c r="BQ130" s="112">
        <v>222</v>
      </c>
      <c r="BR130" s="112">
        <v>39.4</v>
      </c>
      <c r="BS130" s="112">
        <v>7.22</v>
      </c>
      <c r="BT130" s="112">
        <v>24.4</v>
      </c>
      <c r="BU130" s="112">
        <v>3</v>
      </c>
      <c r="BV130" s="112">
        <v>12.4</v>
      </c>
      <c r="BW130" s="112">
        <v>1.7</v>
      </c>
      <c r="BX130" s="112">
        <v>3.8</v>
      </c>
      <c r="BY130" s="112">
        <v>0.46</v>
      </c>
      <c r="BZ130" s="112">
        <v>2.5</v>
      </c>
      <c r="CA130" s="112">
        <v>0.35</v>
      </c>
      <c r="CB130" s="112">
        <v>156</v>
      </c>
      <c r="CC130" s="112">
        <v>129</v>
      </c>
      <c r="CD130" s="112">
        <v>28.3</v>
      </c>
      <c r="CE130" s="112">
        <v>18</v>
      </c>
      <c r="CF130" s="114"/>
      <c r="CG130" s="61">
        <f t="shared" si="223"/>
        <v>1057.8512396694216</v>
      </c>
      <c r="CH130" s="61">
        <f t="shared" si="224"/>
        <v>825.19685039370074</v>
      </c>
      <c r="CI130" s="61">
        <f t="shared" si="225"/>
        <v>637.59086188992728</v>
      </c>
      <c r="CJ130" s="61">
        <f t="shared" si="226"/>
        <v>462.5</v>
      </c>
      <c r="CK130" s="61">
        <f t="shared" si="227"/>
        <v>252.56410256410257</v>
      </c>
      <c r="CL130" s="61">
        <f t="shared" si="228"/>
        <v>122.16582064297801</v>
      </c>
      <c r="CM130" s="61">
        <f t="shared" si="229"/>
        <v>115.0943396226415</v>
      </c>
      <c r="CN130" s="61">
        <f t="shared" si="230"/>
        <v>79.787234042553195</v>
      </c>
      <c r="CO130" s="61">
        <f t="shared" si="231"/>
        <v>47.876447876447877</v>
      </c>
      <c r="CP130" s="61">
        <f t="shared" si="232"/>
        <v>29.059829059829056</v>
      </c>
      <c r="CQ130" s="61">
        <f t="shared" si="233"/>
        <v>23.312883435582819</v>
      </c>
      <c r="CR130" s="61">
        <f t="shared" si="234"/>
        <v>17.96875</v>
      </c>
      <c r="CS130" s="61">
        <f t="shared" si="235"/>
        <v>15.060240963855421</v>
      </c>
      <c r="CT130" s="61">
        <f t="shared" si="236"/>
        <v>14.583333333333332</v>
      </c>
      <c r="CU130" s="61">
        <f t="shared" si="260"/>
        <v>71.5</v>
      </c>
      <c r="CV130" s="61">
        <f t="shared" si="261"/>
        <v>13.40625</v>
      </c>
      <c r="CW130" s="61">
        <f t="shared" si="262"/>
        <v>5.333333333333333</v>
      </c>
      <c r="CX130" s="109">
        <f t="shared" si="263"/>
        <v>137.01072916666666</v>
      </c>
      <c r="CY130" s="61">
        <f t="shared" si="264"/>
        <v>3.358974358974359</v>
      </c>
      <c r="CZ130" s="61">
        <f t="shared" si="265"/>
        <v>1.6961130742049471</v>
      </c>
      <c r="DA130" s="61">
        <f t="shared" si="266"/>
        <v>13.629441624365482</v>
      </c>
      <c r="DB130" s="61">
        <f t="shared" si="267"/>
        <v>17.458333333333332</v>
      </c>
      <c r="DC130" s="61">
        <f t="shared" si="237"/>
        <v>26.604651162790699</v>
      </c>
      <c r="DD130" s="61">
        <f t="shared" si="268"/>
        <v>43</v>
      </c>
      <c r="DE130" s="61">
        <f t="shared" si="269"/>
        <v>1.2</v>
      </c>
      <c r="DF130" s="61">
        <f t="shared" si="270"/>
        <v>51.6</v>
      </c>
      <c r="DG130" s="58">
        <f t="shared" si="271"/>
        <v>1.0212765957446808</v>
      </c>
      <c r="DH130" s="109">
        <f t="shared" si="272"/>
        <v>238.03390625</v>
      </c>
      <c r="DI130" s="58">
        <f t="shared" si="273"/>
        <v>0.14316291632258513</v>
      </c>
      <c r="DJ130" s="61">
        <f t="shared" si="274"/>
        <v>731.42857142857144</v>
      </c>
      <c r="DK130" s="61">
        <f t="shared" si="275"/>
        <v>72.538370720188922</v>
      </c>
      <c r="DL130" s="61">
        <f t="shared" si="238"/>
        <v>4.1884465327012634</v>
      </c>
      <c r="DM130" s="61">
        <f t="shared" si="276"/>
        <v>102.4</v>
      </c>
      <c r="DN130" s="108">
        <f t="shared" si="239"/>
        <v>0.10585585585585586</v>
      </c>
      <c r="DO130" s="61">
        <f t="shared" si="240"/>
        <v>15.76</v>
      </c>
      <c r="DP130" s="109">
        <f t="shared" si="241"/>
        <v>1406.4</v>
      </c>
      <c r="DQ130" s="61">
        <f t="shared" si="277"/>
        <v>15.837837837837839</v>
      </c>
      <c r="DR130" s="61">
        <f t="shared" si="278"/>
        <v>25.484318842481827</v>
      </c>
      <c r="DS130" s="58">
        <f t="shared" si="279"/>
        <v>0.70717946546566579</v>
      </c>
      <c r="DT130" s="63">
        <f t="shared" si="280"/>
        <v>2.8441410693970419E-4</v>
      </c>
      <c r="DU130" s="61">
        <f t="shared" si="281"/>
        <v>17.829787234042552</v>
      </c>
      <c r="DV130" s="61">
        <f t="shared" si="282"/>
        <v>16</v>
      </c>
      <c r="DW130" s="61">
        <f t="shared" si="283"/>
        <v>-0.65305724909368368</v>
      </c>
      <c r="DX130" s="61">
        <f t="shared" si="284"/>
        <v>5.7279236276849641</v>
      </c>
      <c r="DY130" s="61">
        <f t="shared" si="285"/>
        <v>15.393794749403341</v>
      </c>
      <c r="DZ130" s="58">
        <f t="shared" si="286"/>
        <v>0.45829819305933145</v>
      </c>
      <c r="EA130" s="63">
        <f t="shared" si="242"/>
        <v>0.28359374999999998</v>
      </c>
      <c r="EB130" s="58">
        <f t="shared" si="243"/>
        <v>2.6875</v>
      </c>
      <c r="EC130" s="58">
        <f t="shared" si="244"/>
        <v>1.4935242667506616</v>
      </c>
      <c r="ED130" s="58"/>
      <c r="EE130" s="58">
        <f t="shared" si="287"/>
        <v>47.394690417796127</v>
      </c>
      <c r="EF130" s="58">
        <f t="shared" si="287"/>
        <v>1.1800266769932446</v>
      </c>
      <c r="EG130" s="58">
        <f t="shared" si="287"/>
        <v>7.3039025859472471</v>
      </c>
      <c r="EH130" s="58">
        <f t="shared" si="287"/>
        <v>7.7019061141947409</v>
      </c>
      <c r="EI130" s="58">
        <f t="shared" si="287"/>
        <v>0.12585516974312635</v>
      </c>
      <c r="EJ130" s="58">
        <f t="shared" si="287"/>
        <v>10.606256185189965</v>
      </c>
      <c r="EK130" s="58">
        <f t="shared" si="287"/>
        <v>16.113764467966092</v>
      </c>
      <c r="EL130" s="58">
        <f t="shared" si="287"/>
        <v>0.43027408459188499</v>
      </c>
      <c r="EM130" s="58">
        <f t="shared" si="287"/>
        <v>7.8955294522610888</v>
      </c>
      <c r="EN130" s="58">
        <f t="shared" si="287"/>
        <v>1.2477948453164662</v>
      </c>
      <c r="EO130" s="58">
        <f t="shared" si="288"/>
        <v>99.999999999999986</v>
      </c>
    </row>
    <row r="131" spans="1:145">
      <c r="DC131" s="22"/>
      <c r="DL131" s="22"/>
      <c r="DN131" s="84"/>
      <c r="DO131" s="61"/>
      <c r="EA131" s="48"/>
      <c r="EB131" s="48"/>
      <c r="EC131" s="48"/>
      <c r="ED131" s="48"/>
    </row>
    <row r="132" spans="1:145">
      <c r="DC132" s="22"/>
      <c r="DL132" s="22"/>
      <c r="DN132" s="84"/>
      <c r="DO132" s="61"/>
    </row>
    <row r="133" spans="1:145">
      <c r="DC133" s="22"/>
      <c r="DL133" s="22"/>
      <c r="DN133" s="84"/>
      <c r="DO133" s="61"/>
    </row>
    <row r="134" spans="1:145">
      <c r="E134" s="2"/>
      <c r="F134" s="1"/>
    </row>
    <row r="135" spans="1:145">
      <c r="E135" s="2"/>
      <c r="F135" s="1"/>
    </row>
    <row r="136" spans="1:145">
      <c r="E136" s="2"/>
      <c r="F136" s="1"/>
    </row>
  </sheetData>
  <pageMargins left="0.7" right="0.7" top="0.75" bottom="0.75" header="0.3" footer="0.3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9FFD86-942C-4AAC-B727-B10B06DF942E}">
  <dimension ref="A1:FT166"/>
  <sheetViews>
    <sheetView tabSelected="1" zoomScaleNormal="100" workbookViewId="0">
      <pane xSplit="2" ySplit="4" topLeftCell="C5" activePane="bottomRight" state="frozen"/>
      <selection pane="topRight" activeCell="C1" sqref="C1"/>
      <selection pane="bottomLeft" activeCell="A2" sqref="A2"/>
      <selection pane="bottomRight" activeCell="C5" sqref="C5"/>
    </sheetView>
  </sheetViews>
  <sheetFormatPr baseColWidth="10" defaultColWidth="8.83203125" defaultRowHeight="15"/>
  <cols>
    <col min="1" max="1" width="11" style="1" bestFit="1" customWidth="1"/>
    <col min="2" max="2" width="8.33203125" style="1" bestFit="1" customWidth="1"/>
    <col min="3" max="3" width="24.6640625" style="1" bestFit="1" customWidth="1"/>
    <col min="4" max="4" width="14.5" style="1" bestFit="1" customWidth="1"/>
    <col min="5" max="5" width="14.83203125" style="1" bestFit="1" customWidth="1"/>
    <col min="6" max="6" width="8.1640625" style="1" bestFit="1" customWidth="1"/>
    <col min="7" max="7" width="5.6640625" style="1" bestFit="1" customWidth="1"/>
    <col min="8" max="8" width="4.6640625" style="1" bestFit="1" customWidth="1"/>
    <col min="9" max="10" width="5.6640625" style="1" bestFit="1" customWidth="1"/>
    <col min="11" max="11" width="5.1640625" style="1" bestFit="1" customWidth="1"/>
    <col min="12" max="13" width="5.6640625" style="1" bestFit="1" customWidth="1"/>
    <col min="14" max="14" width="5.5" style="1" bestFit="1" customWidth="1"/>
    <col min="15" max="15" width="4.6640625" style="1" bestFit="1" customWidth="1"/>
    <col min="16" max="16" width="4.83203125" style="1" bestFit="1" customWidth="1"/>
    <col min="17" max="17" width="5.6640625" style="1" bestFit="1" customWidth="1"/>
    <col min="18" max="18" width="4.1640625" style="1" bestFit="1" customWidth="1"/>
    <col min="19" max="19" width="6.6640625" style="1" bestFit="1" customWidth="1"/>
    <col min="20" max="20" width="8.83203125" style="1"/>
    <col min="21" max="21" width="9.33203125" style="1" bestFit="1" customWidth="1"/>
    <col min="22" max="22" width="10.33203125" style="1" bestFit="1" customWidth="1"/>
    <col min="23" max="25" width="10" style="1" bestFit="1" customWidth="1"/>
    <col min="26" max="27" width="9.83203125" style="1" bestFit="1" customWidth="1"/>
    <col min="28" max="29" width="5" style="1" bestFit="1" customWidth="1"/>
    <col min="30" max="30" width="4.5" style="1" bestFit="1" customWidth="1"/>
    <col min="31" max="31" width="8.83203125" style="1"/>
    <col min="32" max="32" width="4.83203125" style="1" bestFit="1" customWidth="1"/>
    <col min="33" max="35" width="6.33203125" style="1" bestFit="1" customWidth="1"/>
    <col min="36" max="36" width="9" style="1" bestFit="1" customWidth="1"/>
    <col min="37" max="38" width="8.6640625" style="1" bestFit="1" customWidth="1"/>
    <col min="39" max="39" width="9.1640625" style="1" bestFit="1" customWidth="1"/>
    <col min="40" max="40" width="8.83203125" style="1" bestFit="1" customWidth="1"/>
    <col min="41" max="44" width="4.83203125" style="1" bestFit="1" customWidth="1"/>
    <col min="45" max="46" width="5.33203125" style="1" bestFit="1" customWidth="1"/>
    <col min="47" max="47" width="8.1640625" style="1" bestFit="1" customWidth="1"/>
    <col min="48" max="48" width="4.83203125" style="1" bestFit="1" customWidth="1"/>
    <col min="49" max="49" width="5" style="1" customWidth="1"/>
    <col min="50" max="50" width="5.33203125" style="1" bestFit="1" customWidth="1"/>
    <col min="51" max="52" width="6.33203125" style="1" bestFit="1" customWidth="1"/>
    <col min="53" max="54" width="5.33203125" style="1" bestFit="1" customWidth="1"/>
    <col min="55" max="55" width="4.33203125" style="1" bestFit="1" customWidth="1"/>
    <col min="56" max="56" width="5.33203125" style="1" bestFit="1" customWidth="1"/>
    <col min="57" max="57" width="4.33203125" style="1" bestFit="1" customWidth="1"/>
    <col min="58" max="58" width="5.33203125" style="1" bestFit="1" customWidth="1"/>
    <col min="59" max="60" width="4.33203125" style="1" bestFit="1" customWidth="1"/>
    <col min="61" max="61" width="5.33203125" style="1" bestFit="1" customWidth="1"/>
    <col min="62" max="63" width="4.33203125" style="1" bestFit="1" customWidth="1"/>
    <col min="64" max="66" width="6.33203125" style="1" bestFit="1" customWidth="1"/>
    <col min="67" max="67" width="4.33203125" style="1" bestFit="1" customWidth="1"/>
    <col min="68" max="68" width="5.33203125" style="1" bestFit="1" customWidth="1"/>
    <col min="69" max="70" width="6.33203125" style="1" bestFit="1" customWidth="1"/>
    <col min="71" max="71" width="5.33203125" style="1" bestFit="1" customWidth="1"/>
    <col min="72" max="72" width="6.33203125" style="1" bestFit="1" customWidth="1"/>
    <col min="73" max="74" width="5.33203125" style="1" bestFit="1" customWidth="1"/>
    <col min="75" max="76" width="6.33203125" style="1" bestFit="1" customWidth="1"/>
    <col min="77" max="77" width="5.33203125" style="1" bestFit="1" customWidth="1"/>
    <col min="78" max="79" width="6.33203125" style="1" bestFit="1" customWidth="1"/>
    <col min="80" max="80" width="4.83203125" style="1" bestFit="1" customWidth="1"/>
    <col min="81" max="81" width="6.33203125" style="1" bestFit="1" customWidth="1"/>
    <col min="82" max="83" width="5.33203125" style="1" bestFit="1" customWidth="1"/>
    <col min="84" max="84" width="8.83203125" style="1"/>
    <col min="85" max="86" width="5.83203125" style="1" bestFit="1" customWidth="1"/>
    <col min="87" max="87" width="7.83203125" style="1" bestFit="1" customWidth="1"/>
    <col min="88" max="89" width="5.83203125" style="1" bestFit="1" customWidth="1"/>
    <col min="90" max="90" width="4.83203125" style="1" bestFit="1" customWidth="1"/>
    <col min="91" max="91" width="5.83203125" style="1" bestFit="1" customWidth="1"/>
    <col min="92" max="98" width="4.83203125" style="1" bestFit="1" customWidth="1"/>
    <col min="99" max="99" width="6" style="1" bestFit="1" customWidth="1"/>
    <col min="100" max="101" width="5.83203125" style="1" bestFit="1" customWidth="1"/>
    <col min="102" max="102" width="5.5" style="1" bestFit="1" customWidth="1"/>
    <col min="103" max="103" width="6.1640625" style="1" bestFit="1" customWidth="1"/>
    <col min="104" max="104" width="5.83203125" style="1" bestFit="1" customWidth="1"/>
    <col min="105" max="105" width="6.5" style="1" bestFit="1" customWidth="1"/>
    <col min="106" max="106" width="5.6640625" style="1" bestFit="1" customWidth="1"/>
    <col min="107" max="107" width="5.6640625" style="1" customWidth="1"/>
    <col min="108" max="108" width="5.5" style="1" bestFit="1" customWidth="1"/>
    <col min="109" max="109" width="5.6640625" style="1" bestFit="1" customWidth="1"/>
    <col min="110" max="110" width="5.83203125" style="1" bestFit="1" customWidth="1"/>
    <col min="111" max="111" width="5.1640625" style="1" bestFit="1" customWidth="1"/>
    <col min="112" max="112" width="4.6640625" style="1" bestFit="1" customWidth="1"/>
    <col min="113" max="113" width="7.1640625" style="1" bestFit="1" customWidth="1"/>
    <col min="114" max="114" width="6.83203125" style="1" bestFit="1" customWidth="1"/>
    <col min="115" max="115" width="7.6640625" style="1" bestFit="1" customWidth="1"/>
    <col min="116" max="116" width="8" style="1" bestFit="1" customWidth="1"/>
    <col min="117" max="117" width="5.83203125" style="1" bestFit="1" customWidth="1"/>
    <col min="118" max="118" width="5.6640625" style="1" customWidth="1"/>
    <col min="119" max="119" width="6.5" style="1" bestFit="1" customWidth="1"/>
    <col min="120" max="120" width="5.6640625" style="1" bestFit="1" customWidth="1"/>
    <col min="121" max="121" width="5.83203125" style="1" bestFit="1" customWidth="1"/>
    <col min="122" max="122" width="6.5" style="1" bestFit="1" customWidth="1"/>
    <col min="123" max="124" width="6.83203125" style="1" bestFit="1" customWidth="1"/>
    <col min="125" max="125" width="4.83203125" style="1" bestFit="1" customWidth="1"/>
    <col min="126" max="126" width="5.83203125" style="1" bestFit="1" customWidth="1"/>
    <col min="127" max="127" width="4.6640625" style="1" bestFit="1" customWidth="1"/>
    <col min="128" max="128" width="9.5" style="1" bestFit="1" customWidth="1"/>
    <col min="129" max="129" width="9.1640625" style="1" bestFit="1" customWidth="1"/>
    <col min="130" max="130" width="10.6640625" style="1" bestFit="1" customWidth="1"/>
    <col min="131" max="131" width="6.83203125" style="1" bestFit="1" customWidth="1"/>
    <col min="132" max="132" width="6" style="1" bestFit="1" customWidth="1"/>
    <col min="133" max="133" width="7.33203125" style="1" bestFit="1" customWidth="1"/>
    <col min="134" max="134" width="5.1640625" style="1" customWidth="1"/>
    <col min="135" max="135" width="9.1640625" style="1" bestFit="1" customWidth="1"/>
    <col min="136" max="136" width="9" style="1" bestFit="1" customWidth="1"/>
    <col min="137" max="137" width="9.83203125" style="1" bestFit="1" customWidth="1"/>
    <col min="138" max="138" width="10.1640625" style="1" bestFit="1" customWidth="1"/>
    <col min="139" max="139" width="9.33203125" style="1" bestFit="1" customWidth="1"/>
    <col min="140" max="140" width="9.1640625" style="1" bestFit="1" customWidth="1"/>
    <col min="141" max="141" width="9" style="1" bestFit="1" customWidth="1"/>
    <col min="142" max="142" width="9.6640625" style="1" bestFit="1" customWidth="1"/>
    <col min="143" max="143" width="8.6640625" style="1" bestFit="1" customWidth="1"/>
    <col min="144" max="144" width="9.33203125" style="1" bestFit="1" customWidth="1"/>
    <col min="145" max="145" width="6.83203125" style="1" bestFit="1" customWidth="1"/>
    <col min="146" max="16384" width="8.83203125" style="1"/>
  </cols>
  <sheetData>
    <row r="1" spans="1:176">
      <c r="A1" s="1" t="s">
        <v>273</v>
      </c>
      <c r="F1" s="2"/>
    </row>
    <row r="2" spans="1:176">
      <c r="A2" s="1" t="s">
        <v>274</v>
      </c>
      <c r="F2" s="2"/>
    </row>
    <row r="3" spans="1:176">
      <c r="A3" s="1" t="s">
        <v>275</v>
      </c>
      <c r="F3" s="2"/>
    </row>
    <row r="4" spans="1:176" s="3" customFormat="1" ht="19.25" customHeight="1" thickBot="1">
      <c r="A4" s="3" t="s">
        <v>155</v>
      </c>
      <c r="B4" s="3" t="s">
        <v>153</v>
      </c>
      <c r="C4" s="3" t="s">
        <v>152</v>
      </c>
      <c r="D4" s="4" t="s">
        <v>154</v>
      </c>
      <c r="E4" s="3" t="s">
        <v>151</v>
      </c>
      <c r="F4" s="5" t="s">
        <v>150</v>
      </c>
      <c r="G4" s="4" t="s">
        <v>276</v>
      </c>
      <c r="H4" s="4" t="s">
        <v>277</v>
      </c>
      <c r="I4" s="4" t="s">
        <v>278</v>
      </c>
      <c r="J4" s="4" t="s">
        <v>279</v>
      </c>
      <c r="K4" s="4" t="s">
        <v>149</v>
      </c>
      <c r="L4" s="4" t="s">
        <v>148</v>
      </c>
      <c r="M4" s="4" t="s">
        <v>147</v>
      </c>
      <c r="N4" s="4" t="s">
        <v>280</v>
      </c>
      <c r="O4" s="4" t="s">
        <v>281</v>
      </c>
      <c r="P4" s="4" t="s">
        <v>282</v>
      </c>
      <c r="Q4" s="4" t="s">
        <v>146</v>
      </c>
      <c r="R4" s="4" t="s">
        <v>283</v>
      </c>
      <c r="S4" s="4" t="s">
        <v>145</v>
      </c>
      <c r="U4" s="6" t="s">
        <v>284</v>
      </c>
      <c r="V4" s="7" t="s">
        <v>285</v>
      </c>
      <c r="W4" s="4" t="s">
        <v>286</v>
      </c>
      <c r="X4" s="4" t="s">
        <v>287</v>
      </c>
      <c r="Y4" s="4" t="s">
        <v>288</v>
      </c>
      <c r="Z4" s="4" t="s">
        <v>289</v>
      </c>
      <c r="AA4" s="4" t="s">
        <v>290</v>
      </c>
      <c r="AB4" s="8" t="s">
        <v>291</v>
      </c>
      <c r="AC4" s="8" t="s">
        <v>292</v>
      </c>
      <c r="AD4" s="4" t="s">
        <v>293</v>
      </c>
      <c r="AE4" s="4"/>
      <c r="AF4" s="4" t="s">
        <v>144</v>
      </c>
      <c r="AG4" s="9" t="s">
        <v>143</v>
      </c>
      <c r="AH4" s="9" t="s">
        <v>142</v>
      </c>
      <c r="AI4" s="9" t="s">
        <v>141</v>
      </c>
      <c r="AJ4" s="4" t="s">
        <v>294</v>
      </c>
      <c r="AK4" s="4" t="s">
        <v>295</v>
      </c>
      <c r="AL4" s="4" t="s">
        <v>296</v>
      </c>
      <c r="AM4" s="4" t="s">
        <v>297</v>
      </c>
      <c r="AN4" s="4" t="s">
        <v>298</v>
      </c>
      <c r="AO4" s="4" t="s">
        <v>140</v>
      </c>
      <c r="AP4" s="4" t="s">
        <v>139</v>
      </c>
      <c r="AQ4" s="4" t="s">
        <v>138</v>
      </c>
      <c r="AR4" s="4" t="s">
        <v>137</v>
      </c>
      <c r="AS4" s="9" t="s">
        <v>136</v>
      </c>
      <c r="AT4" s="9" t="s">
        <v>135</v>
      </c>
      <c r="AU4" s="4" t="s">
        <v>299</v>
      </c>
      <c r="AV4" s="4" t="s">
        <v>134</v>
      </c>
      <c r="AW4" s="4"/>
      <c r="AX4" s="3" t="s">
        <v>133</v>
      </c>
      <c r="AY4" s="3" t="s">
        <v>132</v>
      </c>
      <c r="AZ4" s="3" t="s">
        <v>131</v>
      </c>
      <c r="BA4" s="3" t="s">
        <v>130</v>
      </c>
      <c r="BB4" s="3" t="s">
        <v>129</v>
      </c>
      <c r="BC4" s="3" t="s">
        <v>128</v>
      </c>
      <c r="BD4" s="3" t="s">
        <v>127</v>
      </c>
      <c r="BE4" s="3" t="s">
        <v>126</v>
      </c>
      <c r="BF4" s="3" t="s">
        <v>125</v>
      </c>
      <c r="BG4" s="3" t="s">
        <v>124</v>
      </c>
      <c r="BH4" s="3" t="s">
        <v>123</v>
      </c>
      <c r="BI4" s="3" t="s">
        <v>122</v>
      </c>
      <c r="BJ4" s="3" t="s">
        <v>121</v>
      </c>
      <c r="BK4" s="3" t="s">
        <v>120</v>
      </c>
      <c r="BL4" s="3" t="s">
        <v>119</v>
      </c>
      <c r="BM4" s="3" t="s">
        <v>118</v>
      </c>
      <c r="BN4" s="3" t="s">
        <v>117</v>
      </c>
      <c r="BO4" s="3" t="s">
        <v>116</v>
      </c>
      <c r="BP4" s="3" t="s">
        <v>115</v>
      </c>
      <c r="BQ4" s="3" t="s">
        <v>114</v>
      </c>
      <c r="BR4" s="3" t="s">
        <v>113</v>
      </c>
      <c r="BS4" s="3" t="s">
        <v>112</v>
      </c>
      <c r="BT4" s="3" t="s">
        <v>111</v>
      </c>
      <c r="BU4" s="3" t="s">
        <v>110</v>
      </c>
      <c r="BV4" s="3" t="s">
        <v>109</v>
      </c>
      <c r="BW4" s="3" t="s">
        <v>108</v>
      </c>
      <c r="BX4" s="3" t="s">
        <v>107</v>
      </c>
      <c r="BY4" s="3" t="s">
        <v>106</v>
      </c>
      <c r="BZ4" s="3" t="s">
        <v>105</v>
      </c>
      <c r="CA4" s="3" t="s">
        <v>104</v>
      </c>
      <c r="CB4" s="3" t="s">
        <v>103</v>
      </c>
      <c r="CC4" s="3" t="s">
        <v>102</v>
      </c>
      <c r="CD4" s="3" t="s">
        <v>101</v>
      </c>
      <c r="CE4" s="3" t="s">
        <v>100</v>
      </c>
      <c r="CG4" s="8" t="s">
        <v>300</v>
      </c>
      <c r="CH4" s="8" t="s">
        <v>301</v>
      </c>
      <c r="CI4" s="8" t="s">
        <v>302</v>
      </c>
      <c r="CJ4" s="8" t="s">
        <v>303</v>
      </c>
      <c r="CK4" s="8" t="s">
        <v>304</v>
      </c>
      <c r="CL4" s="8" t="s">
        <v>305</v>
      </c>
      <c r="CM4" s="8" t="s">
        <v>306</v>
      </c>
      <c r="CN4" s="8" t="s">
        <v>307</v>
      </c>
      <c r="CO4" s="8" t="s">
        <v>308</v>
      </c>
      <c r="CP4" s="8" t="s">
        <v>309</v>
      </c>
      <c r="CQ4" s="8" t="s">
        <v>310</v>
      </c>
      <c r="CR4" s="8" t="s">
        <v>311</v>
      </c>
      <c r="CS4" s="8" t="s">
        <v>312</v>
      </c>
      <c r="CT4" s="8" t="s">
        <v>313</v>
      </c>
      <c r="CU4" s="8" t="s">
        <v>99</v>
      </c>
      <c r="CV4" s="8" t="s">
        <v>98</v>
      </c>
      <c r="CW4" s="8" t="s">
        <v>97</v>
      </c>
      <c r="CX4" s="9" t="s">
        <v>96</v>
      </c>
      <c r="CY4" s="8" t="s">
        <v>95</v>
      </c>
      <c r="CZ4" s="8" t="s">
        <v>94</v>
      </c>
      <c r="DA4" s="8" t="s">
        <v>93</v>
      </c>
      <c r="DB4" s="8" t="s">
        <v>92</v>
      </c>
      <c r="DC4" s="8" t="s">
        <v>91</v>
      </c>
      <c r="DD4" s="8" t="s">
        <v>90</v>
      </c>
      <c r="DE4" s="8" t="s">
        <v>89</v>
      </c>
      <c r="DF4" s="8" t="s">
        <v>88</v>
      </c>
      <c r="DG4" s="4" t="s">
        <v>87</v>
      </c>
      <c r="DH4" s="9" t="s">
        <v>86</v>
      </c>
      <c r="DI4" s="8" t="s">
        <v>85</v>
      </c>
      <c r="DJ4" s="8" t="s">
        <v>84</v>
      </c>
      <c r="DK4" s="8" t="s">
        <v>83</v>
      </c>
      <c r="DL4" s="8" t="s">
        <v>314</v>
      </c>
      <c r="DM4" s="8" t="s">
        <v>82</v>
      </c>
      <c r="DN4" s="8" t="s">
        <v>80</v>
      </c>
      <c r="DO4" s="8" t="s">
        <v>81</v>
      </c>
      <c r="DP4" s="9" t="s">
        <v>79</v>
      </c>
      <c r="DQ4" s="8" t="s">
        <v>78</v>
      </c>
      <c r="DR4" s="8" t="s">
        <v>77</v>
      </c>
      <c r="DS4" s="4" t="s">
        <v>76</v>
      </c>
      <c r="DT4" s="10" t="s">
        <v>75</v>
      </c>
      <c r="DU4" s="8" t="s">
        <v>74</v>
      </c>
      <c r="DV4" s="8" t="s">
        <v>73</v>
      </c>
      <c r="DW4" s="8" t="s">
        <v>315</v>
      </c>
      <c r="DX4" s="8" t="s">
        <v>72</v>
      </c>
      <c r="DY4" s="8" t="s">
        <v>71</v>
      </c>
      <c r="DZ4" s="10" t="s">
        <v>70</v>
      </c>
      <c r="EA4" s="10" t="s">
        <v>69</v>
      </c>
      <c r="EB4" s="10" t="s">
        <v>68</v>
      </c>
      <c r="EC4" s="10" t="s">
        <v>67</v>
      </c>
      <c r="ED4" s="10"/>
      <c r="EE4" s="4" t="s">
        <v>316</v>
      </c>
      <c r="EF4" s="4" t="s">
        <v>317</v>
      </c>
      <c r="EG4" s="4" t="s">
        <v>318</v>
      </c>
      <c r="EH4" s="4" t="s">
        <v>319</v>
      </c>
      <c r="EI4" s="4" t="s">
        <v>320</v>
      </c>
      <c r="EJ4" s="4" t="s">
        <v>321</v>
      </c>
      <c r="EK4" s="4" t="s">
        <v>322</v>
      </c>
      <c r="EL4" s="4" t="s">
        <v>323</v>
      </c>
      <c r="EM4" s="4" t="s">
        <v>324</v>
      </c>
      <c r="EN4" s="4" t="s">
        <v>325</v>
      </c>
      <c r="EO4" s="4" t="s">
        <v>66</v>
      </c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9"/>
      <c r="FS4" s="9"/>
      <c r="FT4" s="8"/>
    </row>
    <row r="5" spans="1:176" s="18" customFormat="1" ht="14.5" customHeight="1" thickTop="1">
      <c r="A5" s="1" t="s">
        <v>231</v>
      </c>
      <c r="B5" s="1">
        <v>4</v>
      </c>
      <c r="C5" s="11" t="s">
        <v>264</v>
      </c>
      <c r="D5" s="1" t="s">
        <v>260</v>
      </c>
      <c r="E5" s="12" t="s">
        <v>4</v>
      </c>
      <c r="F5" s="13"/>
      <c r="G5" s="14">
        <v>37.29</v>
      </c>
      <c r="H5" s="14">
        <v>5.57</v>
      </c>
      <c r="I5" s="14">
        <v>6.48</v>
      </c>
      <c r="J5" s="14">
        <v>15.95</v>
      </c>
      <c r="K5" s="14">
        <v>0.21</v>
      </c>
      <c r="L5" s="14">
        <v>17.29</v>
      </c>
      <c r="M5" s="14">
        <v>11.28</v>
      </c>
      <c r="N5" s="14">
        <v>2.06</v>
      </c>
      <c r="O5" s="14">
        <v>3.15</v>
      </c>
      <c r="P5" s="14">
        <v>0.71</v>
      </c>
      <c r="Q5" s="14">
        <v>0.24</v>
      </c>
      <c r="R5" s="15"/>
      <c r="S5" s="15">
        <f t="shared" ref="S5:S36" si="0">G5+H5+I5+J5+K5+L5+M5+N5+O5+P5</f>
        <v>99.99</v>
      </c>
      <c r="T5" s="16"/>
      <c r="U5" s="17"/>
      <c r="V5" s="17"/>
      <c r="AF5" s="19">
        <f t="shared" ref="AF5:AF36" si="1">(L5/40.31)/((L5/40.31)+(J5-(J5*0.15))*0.8998/71.85)</f>
        <v>0.71641591257468007</v>
      </c>
      <c r="AG5" s="20">
        <f t="shared" ref="AG5:AG36" si="2">H5*5995</f>
        <v>33392.15</v>
      </c>
      <c r="AH5" s="20">
        <f t="shared" ref="AH5:AH36" si="3">O5*8302</f>
        <v>26151.3</v>
      </c>
      <c r="AI5" s="20">
        <f t="shared" ref="AI5:AI36" si="4">P5*4364</f>
        <v>3098.44</v>
      </c>
      <c r="AJ5" s="19">
        <f t="shared" ref="AJ5:AJ36" si="5">N5+O5</f>
        <v>5.21</v>
      </c>
      <c r="AK5" s="19">
        <f t="shared" ref="AK5:AK36" si="6">O5/N5</f>
        <v>1.529126213592233</v>
      </c>
      <c r="AL5" s="19">
        <f t="shared" ref="AL5:AL36" si="7">N5/O5</f>
        <v>0.65396825396825398</v>
      </c>
      <c r="AM5" s="19">
        <f t="shared" ref="AM5:AM36" si="8">EK5/EG5</f>
        <v>1.7407407407407407</v>
      </c>
      <c r="AN5" s="19">
        <f t="shared" ref="AN5:AN36" si="9">O5/I5</f>
        <v>0.48611111111111105</v>
      </c>
      <c r="AO5" s="19">
        <f t="shared" ref="AO5:AO36" si="10">(EL5/61.98+EM5/94.2)/(EG5/101.96)</f>
        <v>1.0491183382393239</v>
      </c>
      <c r="AP5" s="19">
        <f t="shared" ref="AP5:AP36" si="11">1/AO5</f>
        <v>0.95318131763690606</v>
      </c>
      <c r="AQ5" s="19">
        <f t="shared" ref="AQ5:AQ36" si="12">(EG5/101.96)/((EK5/56.08)+(EL5/61.98)+(EM5/94.2))</f>
        <v>0.23730486433523901</v>
      </c>
      <c r="AR5" s="19">
        <f t="shared" ref="AR5:AR36" si="13">(EL5/61.98+EM5/94.2)/(EG5/101.96)</f>
        <v>1.0491183382393239</v>
      </c>
      <c r="AS5" s="20">
        <f t="shared" ref="AS5:AS36" si="14">1000*(4*(EE5/60.08)-11*(EL5/61.98+EM5/94.2)-2*(EH5/159.69+EF5/79.87))</f>
        <v>1410.1558721462291</v>
      </c>
      <c r="AT5" s="20">
        <f t="shared" ref="AT5:AT36" si="15">1000*(6*(EK5/56.08)+2*(EJ5/40.3)+EG5/101.96)</f>
        <v>2128.6790799833584</v>
      </c>
      <c r="AU5" s="19">
        <f t="shared" ref="AU5:AU36" si="16">O5/G5</f>
        <v>8.4473049074818993E-2</v>
      </c>
      <c r="AV5" s="19">
        <f t="shared" ref="AV5:AV36" si="17">(O5/94.2)/(I5/101.96)</f>
        <v>0.52615593300306673</v>
      </c>
      <c r="AX5" s="1">
        <v>43</v>
      </c>
      <c r="AY5" s="1">
        <v>1221</v>
      </c>
      <c r="AZ5" s="1">
        <v>898</v>
      </c>
      <c r="BA5" s="1"/>
      <c r="BB5" s="1">
        <v>26.7</v>
      </c>
      <c r="BC5" s="1">
        <v>396</v>
      </c>
      <c r="BD5" s="1">
        <v>846</v>
      </c>
      <c r="BE5" s="1"/>
      <c r="BF5" s="1">
        <v>504</v>
      </c>
      <c r="BG5" s="1"/>
      <c r="BH5" s="1"/>
      <c r="BI5" s="1">
        <v>23</v>
      </c>
      <c r="BJ5" s="1">
        <v>390</v>
      </c>
      <c r="BK5" s="1">
        <v>126</v>
      </c>
      <c r="BL5" s="1">
        <v>9.68</v>
      </c>
      <c r="BM5" s="1">
        <v>8.99</v>
      </c>
      <c r="BN5" s="1">
        <v>100</v>
      </c>
      <c r="BO5" s="1">
        <v>203</v>
      </c>
      <c r="BP5" s="1"/>
      <c r="BQ5" s="1">
        <v>95</v>
      </c>
      <c r="BR5" s="1">
        <v>15.31</v>
      </c>
      <c r="BS5" s="1">
        <v>4.13</v>
      </c>
      <c r="BT5" s="1">
        <v>10.63</v>
      </c>
      <c r="BU5" s="1"/>
      <c r="BV5" s="1">
        <v>5.62</v>
      </c>
      <c r="BW5" s="1">
        <v>0.84899999999999998</v>
      </c>
      <c r="BX5" s="1">
        <v>1.8160000000000001</v>
      </c>
      <c r="BY5" s="1"/>
      <c r="BZ5" s="1">
        <v>1.1970000000000001</v>
      </c>
      <c r="CA5" s="1">
        <v>0.158</v>
      </c>
      <c r="CB5" s="1"/>
      <c r="CC5" s="1">
        <v>12.3</v>
      </c>
      <c r="CD5" s="1">
        <v>2.9</v>
      </c>
      <c r="CE5" s="21"/>
      <c r="CG5" s="22">
        <f t="shared" ref="CG5:CG48" si="18">BN5/0.242</f>
        <v>413.22314049586777</v>
      </c>
      <c r="CH5" s="22">
        <f t="shared" ref="CH5:CH10" si="19">BO5/0.635</f>
        <v>319.68503937007875</v>
      </c>
      <c r="CI5" s="22"/>
      <c r="CJ5" s="22">
        <f t="shared" ref="CJ5:CJ10" si="20">BQ5/0.48</f>
        <v>197.91666666666669</v>
      </c>
      <c r="CK5" s="22">
        <f t="shared" ref="CK5:CK10" si="21">BR5/0.156</f>
        <v>98.141025641025649</v>
      </c>
      <c r="CL5" s="22">
        <v>35.059100000000001</v>
      </c>
      <c r="CM5" s="22">
        <f t="shared" ref="CM5:CM10" si="22">BT5/0.212</f>
        <v>50.14150943396227</v>
      </c>
      <c r="CN5" s="22"/>
      <c r="CO5" s="22">
        <f t="shared" ref="CO5:CO10" si="23">BV5/0.259</f>
        <v>21.698841698841697</v>
      </c>
      <c r="CP5" s="22">
        <f t="shared" ref="CP5:CP10" si="24">BW5/0.0585</f>
        <v>14.512820512820511</v>
      </c>
      <c r="CQ5" s="22">
        <f t="shared" ref="CQ5:CQ10" si="25">BX5/0.163</f>
        <v>11.141104294478527</v>
      </c>
      <c r="CR5" s="22"/>
      <c r="CS5" s="22">
        <f t="shared" ref="CS5:CS48" si="26">BZ5/0.166</f>
        <v>7.2108433734939759</v>
      </c>
      <c r="CT5" s="22">
        <f t="shared" ref="CT5:CT10" si="27">CA5/0.025</f>
        <v>6.3199999999999994</v>
      </c>
      <c r="CU5" s="22">
        <f>AZ5/BK5</f>
        <v>7.1269841269841274</v>
      </c>
      <c r="CV5" s="22">
        <f t="shared" ref="CV5:CV46" si="28">AZ5/BN5</f>
        <v>8.98</v>
      </c>
      <c r="CW5" s="22">
        <f>BN5/BK5</f>
        <v>0.79365079365079361</v>
      </c>
      <c r="CX5" s="20">
        <f>AG5/BK5</f>
        <v>265.01706349206353</v>
      </c>
      <c r="CY5" s="22"/>
      <c r="CZ5" s="22">
        <f>BK5/CD5</f>
        <v>43.448275862068968</v>
      </c>
      <c r="DA5" s="22">
        <f t="shared" ref="DA5:DA10" si="29">AX5/BR5</f>
        <v>2.8086218158066623</v>
      </c>
      <c r="DB5" s="22">
        <f>BJ5/BK5</f>
        <v>3.0952380952380953</v>
      </c>
      <c r="DC5" s="22">
        <f>AZ5/CC5</f>
        <v>73.008130081300806</v>
      </c>
      <c r="DD5" s="22">
        <f>CC5/BM5</f>
        <v>1.3681868743047831</v>
      </c>
      <c r="DE5" s="22">
        <f>BM5/BZ5</f>
        <v>7.5104427736006683</v>
      </c>
      <c r="DF5" s="22">
        <f t="shared" ref="DF5:DF10" si="30">CC5/BZ5</f>
        <v>10.275689223057643</v>
      </c>
      <c r="DG5" s="19">
        <f t="shared" ref="DG5:DG36" si="31">BK5/BI5</f>
        <v>5.4782608695652177</v>
      </c>
      <c r="DH5" s="20">
        <f t="shared" ref="DH5:DH46" si="32">AH5/BN5</f>
        <v>261.51299999999998</v>
      </c>
      <c r="DI5" s="19">
        <f>(BK5/0.46)/((O5/0.023)*(CD5/0.017))^0.5</f>
        <v>1.7920363564527859</v>
      </c>
      <c r="DJ5" s="22">
        <f t="shared" ref="DJ5:DJ10" si="33">BN5/CA5</f>
        <v>632.91139240506334</v>
      </c>
      <c r="DK5" s="22">
        <f t="shared" ref="DK5:DK10" si="34">CG5/CT5</f>
        <v>65.383408306308198</v>
      </c>
      <c r="DL5" s="22">
        <f t="shared" ref="DL5:DL10" si="35">CG5/CK5</f>
        <v>4.2105035870251708</v>
      </c>
      <c r="DM5" s="22">
        <f t="shared" ref="DM5:DM23" si="36">BN5/BZ5</f>
        <v>83.542188805346697</v>
      </c>
      <c r="DN5" s="22">
        <f t="shared" ref="DN5:DN10" si="37">BL5/BQ5</f>
        <v>0.10189473684210526</v>
      </c>
      <c r="DO5" s="22">
        <f t="shared" ref="DO5:DO23" si="38">BR5/BZ5</f>
        <v>12.790309106098579</v>
      </c>
      <c r="DP5" s="20">
        <f t="shared" ref="DP5:DP19" si="39">AY5/BZ5</f>
        <v>1020.0501253132832</v>
      </c>
      <c r="DQ5" s="22">
        <f t="shared" ref="DQ5:DQ10" si="40">AY5/BQ5</f>
        <v>12.852631578947369</v>
      </c>
      <c r="DR5" s="22">
        <f t="shared" ref="DR5:DR10" si="41">AY5/(((BR5/0.195)*(BT5/0.259))^0.5)</f>
        <v>21.50941624736117</v>
      </c>
      <c r="DS5" s="19">
        <f t="shared" ref="DS5:DS10" si="42">(BS5/0.074)/(((BR5/0.195)*(BT5/0.259))^0.5)</f>
        <v>0.9831760530978334</v>
      </c>
      <c r="DT5" s="23">
        <f t="shared" ref="DT5:DT19" si="43">1/AY5</f>
        <v>8.1900081900081905E-4</v>
      </c>
      <c r="DU5" s="22">
        <f t="shared" ref="DU5:DU36" si="44">BJ5/BI5</f>
        <v>16.956521739130434</v>
      </c>
      <c r="DV5" s="22">
        <f>BK5/BM5</f>
        <v>14.015572858731923</v>
      </c>
      <c r="DW5" s="22">
        <f>1.74+LOG(BK5/BI5)-1.92*LOG(BJ5/BI5)</f>
        <v>0.11831610876287035</v>
      </c>
      <c r="DX5" s="22">
        <f t="shared" ref="DX5:DX36" si="45">BK5*100/BJ5</f>
        <v>32.307692307692307</v>
      </c>
      <c r="DY5" s="22">
        <f t="shared" ref="DY5:DY46" si="46">CC5*100/BJ5</f>
        <v>3.1538461538461537</v>
      </c>
      <c r="DZ5" s="19">
        <f t="shared" ref="DZ5:DZ19" si="47">EK5*100/AY5</f>
        <v>0.92392531636456032</v>
      </c>
      <c r="EA5" s="23"/>
      <c r="EB5" s="19">
        <f>CC5/BK5</f>
        <v>9.7619047619047619E-2</v>
      </c>
      <c r="EC5" s="19"/>
      <c r="ED5" s="19"/>
      <c r="EE5" s="19">
        <f t="shared" ref="EE5:EE36" si="48">100*G5/($G5+$H5+$I5+$J5+$K5+$L5+$M5+$N5+$O5+$P5)</f>
        <v>37.293729372937293</v>
      </c>
      <c r="EF5" s="19">
        <f t="shared" ref="EF5:EF36" si="49">100*H5/($G5+$H5+$I5+$J5+$K5+$L5+$M5+$N5+$O5+$P5)</f>
        <v>5.5705570557055708</v>
      </c>
      <c r="EG5" s="19">
        <f t="shared" ref="EG5:EG36" si="50">100*I5/($G5+$H5+$I5+$J5+$K5+$L5+$M5+$N5+$O5+$P5)</f>
        <v>6.4806480648064806</v>
      </c>
      <c r="EH5" s="19">
        <f t="shared" ref="EH5:EH36" si="51">100*J5/($G5+$H5+$I5+$J5+$K5+$L5+$M5+$N5+$O5+$P5)</f>
        <v>15.951595159515952</v>
      </c>
      <c r="EI5" s="19">
        <f t="shared" ref="EI5:EI36" si="52">100*K5/($G5+$H5+$I5+$J5+$K5+$L5+$M5+$N5+$O5+$P5)</f>
        <v>0.21002100210021002</v>
      </c>
      <c r="EJ5" s="19">
        <f t="shared" ref="EJ5:EJ36" si="53">100*L5/($G5+$H5+$I5+$J5+$K5+$L5+$M5+$N5+$O5+$P5)</f>
        <v>17.291729172917293</v>
      </c>
      <c r="EK5" s="19">
        <f t="shared" ref="EK5:EK36" si="54">100*M5/($G5+$H5+$I5+$J5+$K5+$L5+$M5+$N5+$O5+$P5)</f>
        <v>11.281128112811281</v>
      </c>
      <c r="EL5" s="19">
        <f t="shared" ref="EL5:EL36" si="55">100*N5/($G5+$H5+$I5+$J5+$K5+$L5+$M5+$N5+$O5+$P5)</f>
        <v>2.0602060206020605</v>
      </c>
      <c r="EM5" s="19">
        <f t="shared" ref="EM5:EM36" si="56">100*O5/($G5+$H5+$I5+$J5+$K5+$L5+$M5+$N5+$O5+$P5)</f>
        <v>3.1503150315031503</v>
      </c>
      <c r="EN5" s="19">
        <f t="shared" ref="EN5:EN36" si="57">100*P5/($G5+$H5+$I5+$J5+$K5+$L5+$M5+$N5+$O5+$P5)</f>
        <v>0.71007100710071014</v>
      </c>
      <c r="EO5" s="19">
        <f t="shared" ref="EO5:EO36" si="58">SUM(EE5:EN5)</f>
        <v>99.999999999999986</v>
      </c>
    </row>
    <row r="6" spans="1:176" s="18" customFormat="1" ht="14.5" customHeight="1">
      <c r="A6" s="1" t="s">
        <v>231</v>
      </c>
      <c r="B6" s="1">
        <v>4</v>
      </c>
      <c r="C6" s="11" t="s">
        <v>264</v>
      </c>
      <c r="D6" s="1" t="s">
        <v>260</v>
      </c>
      <c r="E6" s="12" t="s">
        <v>4</v>
      </c>
      <c r="F6" s="13"/>
      <c r="G6" s="14">
        <v>36.72</v>
      </c>
      <c r="H6" s="14">
        <v>5.93</v>
      </c>
      <c r="I6" s="14">
        <v>7.22</v>
      </c>
      <c r="J6" s="14">
        <v>16.02</v>
      </c>
      <c r="K6" s="14">
        <v>0.22</v>
      </c>
      <c r="L6" s="14">
        <v>15.01</v>
      </c>
      <c r="M6" s="14">
        <v>13.19</v>
      </c>
      <c r="N6" s="14">
        <v>2.4300000000000002</v>
      </c>
      <c r="O6" s="14">
        <v>2.25</v>
      </c>
      <c r="P6" s="14">
        <v>1.01</v>
      </c>
      <c r="Q6" s="14">
        <v>1.83</v>
      </c>
      <c r="R6" s="15"/>
      <c r="S6" s="15">
        <f t="shared" si="0"/>
        <v>100.00000000000001</v>
      </c>
      <c r="T6" s="16"/>
      <c r="U6" s="17"/>
      <c r="V6" s="17"/>
      <c r="AF6" s="19">
        <f t="shared" si="1"/>
        <v>0.68588728743283944</v>
      </c>
      <c r="AG6" s="20">
        <f t="shared" si="2"/>
        <v>35550.35</v>
      </c>
      <c r="AH6" s="20">
        <f t="shared" si="3"/>
        <v>18679.5</v>
      </c>
      <c r="AI6" s="20">
        <f t="shared" si="4"/>
        <v>4407.6400000000003</v>
      </c>
      <c r="AJ6" s="19">
        <f t="shared" si="5"/>
        <v>4.68</v>
      </c>
      <c r="AK6" s="19">
        <f t="shared" si="6"/>
        <v>0.92592592592592582</v>
      </c>
      <c r="AL6" s="19">
        <f t="shared" si="7"/>
        <v>1.08</v>
      </c>
      <c r="AM6" s="19">
        <f t="shared" si="8"/>
        <v>1.8268698060941828</v>
      </c>
      <c r="AN6" s="19">
        <f t="shared" si="9"/>
        <v>0.31163434903047094</v>
      </c>
      <c r="AO6" s="19">
        <f t="shared" si="10"/>
        <v>0.89097147042083447</v>
      </c>
      <c r="AP6" s="19">
        <f t="shared" si="11"/>
        <v>1.1223703936644209</v>
      </c>
      <c r="AQ6" s="19">
        <f t="shared" si="12"/>
        <v>0.23739241651678059</v>
      </c>
      <c r="AR6" s="19">
        <f t="shared" si="13"/>
        <v>0.89097147042083447</v>
      </c>
      <c r="AS6" s="20">
        <f t="shared" si="14"/>
        <v>1401.6033057715726</v>
      </c>
      <c r="AT6" s="20">
        <f t="shared" si="15"/>
        <v>2226.9235226944065</v>
      </c>
      <c r="AU6" s="19">
        <f t="shared" si="16"/>
        <v>6.1274509803921573E-2</v>
      </c>
      <c r="AV6" s="19">
        <f t="shared" si="17"/>
        <v>0.33730613829242895</v>
      </c>
      <c r="AX6" s="1">
        <v>52</v>
      </c>
      <c r="AY6" s="1">
        <v>1630</v>
      </c>
      <c r="AZ6" s="1">
        <v>1257</v>
      </c>
      <c r="BA6" s="1"/>
      <c r="BB6" s="1">
        <v>28.2</v>
      </c>
      <c r="BC6" s="1">
        <v>447</v>
      </c>
      <c r="BD6" s="1">
        <v>511</v>
      </c>
      <c r="BE6" s="1"/>
      <c r="BF6" s="1">
        <v>356</v>
      </c>
      <c r="BG6" s="1"/>
      <c r="BH6" s="1"/>
      <c r="BI6" s="1">
        <v>29</v>
      </c>
      <c r="BJ6" s="1">
        <v>518</v>
      </c>
      <c r="BK6" s="1">
        <v>147</v>
      </c>
      <c r="BL6" s="1">
        <v>12.45</v>
      </c>
      <c r="BM6" s="1">
        <v>10.38</v>
      </c>
      <c r="BN6" s="1">
        <v>118</v>
      </c>
      <c r="BO6" s="1">
        <v>240</v>
      </c>
      <c r="BP6" s="1"/>
      <c r="BQ6" s="1">
        <v>111</v>
      </c>
      <c r="BR6" s="1">
        <v>17.95</v>
      </c>
      <c r="BS6" s="1">
        <v>4.8899999999999997</v>
      </c>
      <c r="BT6" s="1">
        <v>12.31</v>
      </c>
      <c r="BU6" s="1"/>
      <c r="BV6" s="1">
        <v>6.76</v>
      </c>
      <c r="BW6" s="1">
        <v>1.0209999999999999</v>
      </c>
      <c r="BX6" s="1">
        <v>2.2440000000000002</v>
      </c>
      <c r="BY6" s="1"/>
      <c r="BZ6" s="1">
        <v>1.5649999999999999</v>
      </c>
      <c r="CA6" s="1">
        <v>0.20799999999999999</v>
      </c>
      <c r="CB6" s="1"/>
      <c r="CC6" s="1">
        <v>14.3</v>
      </c>
      <c r="CD6" s="1">
        <v>3.45</v>
      </c>
      <c r="CE6" s="21"/>
      <c r="CG6" s="22">
        <f t="shared" si="18"/>
        <v>487.60330578512401</v>
      </c>
      <c r="CH6" s="22">
        <f t="shared" si="19"/>
        <v>377.95275590551182</v>
      </c>
      <c r="CI6" s="22"/>
      <c r="CJ6" s="22">
        <f t="shared" si="20"/>
        <v>231.25</v>
      </c>
      <c r="CK6" s="22">
        <f t="shared" si="21"/>
        <v>115.06410256410255</v>
      </c>
      <c r="CL6" s="22">
        <v>36.059100000000001</v>
      </c>
      <c r="CM6" s="22">
        <f t="shared" si="22"/>
        <v>58.066037735849058</v>
      </c>
      <c r="CN6" s="22"/>
      <c r="CO6" s="22">
        <f t="shared" si="23"/>
        <v>26.1003861003861</v>
      </c>
      <c r="CP6" s="22">
        <f t="shared" si="24"/>
        <v>17.452991452991451</v>
      </c>
      <c r="CQ6" s="22">
        <f t="shared" si="25"/>
        <v>13.766871165644172</v>
      </c>
      <c r="CR6" s="22"/>
      <c r="CS6" s="22">
        <f t="shared" si="26"/>
        <v>9.4277108433734931</v>
      </c>
      <c r="CT6" s="22">
        <f t="shared" si="27"/>
        <v>8.3199999999999985</v>
      </c>
      <c r="CU6" s="22">
        <f>AZ6/BK6</f>
        <v>8.5510204081632661</v>
      </c>
      <c r="CV6" s="22">
        <f t="shared" si="28"/>
        <v>10.652542372881356</v>
      </c>
      <c r="CW6" s="22">
        <f>BN6/BK6</f>
        <v>0.80272108843537415</v>
      </c>
      <c r="CX6" s="20">
        <f>AG6/BK6</f>
        <v>241.83911564625851</v>
      </c>
      <c r="CY6" s="22"/>
      <c r="CZ6" s="22">
        <f>BK6/CD6</f>
        <v>42.608695652173914</v>
      </c>
      <c r="DA6" s="22">
        <f t="shared" si="29"/>
        <v>2.8969359331476325</v>
      </c>
      <c r="DB6" s="22">
        <f>BJ6/BK6</f>
        <v>3.5238095238095237</v>
      </c>
      <c r="DC6" s="22">
        <f>AZ6/CC6</f>
        <v>87.902097902097893</v>
      </c>
      <c r="DD6" s="22">
        <f>CC6/BM6</f>
        <v>1.3776493256262041</v>
      </c>
      <c r="DE6" s="22">
        <f>BM6/BZ6</f>
        <v>6.6325878594249206</v>
      </c>
      <c r="DF6" s="22">
        <f t="shared" si="30"/>
        <v>9.1373801916932909</v>
      </c>
      <c r="DG6" s="19">
        <f t="shared" si="31"/>
        <v>5.068965517241379</v>
      </c>
      <c r="DH6" s="20">
        <f t="shared" si="32"/>
        <v>158.30084745762713</v>
      </c>
      <c r="DI6" s="19">
        <f>(BK6/0.46)/((O6/0.023)*(CD6/0.017))^0.5</f>
        <v>2.2680210194518673</v>
      </c>
      <c r="DJ6" s="22">
        <f t="shared" si="33"/>
        <v>567.30769230769238</v>
      </c>
      <c r="DK6" s="22">
        <f t="shared" si="34"/>
        <v>58.606166560712033</v>
      </c>
      <c r="DL6" s="22">
        <f t="shared" si="35"/>
        <v>4.2376666129514957</v>
      </c>
      <c r="DM6" s="22">
        <f t="shared" si="36"/>
        <v>75.399361022364218</v>
      </c>
      <c r="DN6" s="22">
        <f t="shared" si="37"/>
        <v>0.11216216216216215</v>
      </c>
      <c r="DO6" s="22">
        <f t="shared" si="38"/>
        <v>11.469648562300319</v>
      </c>
      <c r="DP6" s="20">
        <f t="shared" si="39"/>
        <v>1041.5335463258787</v>
      </c>
      <c r="DQ6" s="22">
        <f t="shared" si="40"/>
        <v>14.684684684684685</v>
      </c>
      <c r="DR6" s="22">
        <f t="shared" si="41"/>
        <v>24.642997853206442</v>
      </c>
      <c r="DS6" s="19">
        <f t="shared" si="42"/>
        <v>0.99904045350836934</v>
      </c>
      <c r="DT6" s="23">
        <f t="shared" si="43"/>
        <v>6.1349693251533746E-4</v>
      </c>
      <c r="DU6" s="22">
        <f t="shared" si="44"/>
        <v>17.862068965517242</v>
      </c>
      <c r="DV6" s="22">
        <f>BK6/BM6</f>
        <v>14.161849710982658</v>
      </c>
      <c r="DW6" s="22">
        <f>1.74+LOG(BK6/BI6)-1.92*LOG(BJ6/BI6)</f>
        <v>4.1210354104368463E-2</v>
      </c>
      <c r="DX6" s="22">
        <f t="shared" si="45"/>
        <v>28.378378378378379</v>
      </c>
      <c r="DY6" s="22">
        <f t="shared" si="46"/>
        <v>2.7606177606177607</v>
      </c>
      <c r="DZ6" s="19">
        <f t="shared" si="47"/>
        <v>0.80920245398772994</v>
      </c>
      <c r="EA6" s="23"/>
      <c r="EB6" s="19">
        <f>CC6/BK6</f>
        <v>9.7278911564625856E-2</v>
      </c>
      <c r="EC6" s="19"/>
      <c r="ED6" s="19"/>
      <c r="EE6" s="19">
        <f t="shared" si="48"/>
        <v>36.719999999999992</v>
      </c>
      <c r="EF6" s="19">
        <f t="shared" si="49"/>
        <v>5.9299999999999988</v>
      </c>
      <c r="EG6" s="19">
        <f t="shared" si="50"/>
        <v>7.2199999999999989</v>
      </c>
      <c r="EH6" s="19">
        <f t="shared" si="51"/>
        <v>16.019999999999996</v>
      </c>
      <c r="EI6" s="19">
        <f t="shared" si="52"/>
        <v>0.21999999999999997</v>
      </c>
      <c r="EJ6" s="19">
        <f t="shared" si="53"/>
        <v>15.009999999999998</v>
      </c>
      <c r="EK6" s="19">
        <f t="shared" si="54"/>
        <v>13.189999999999998</v>
      </c>
      <c r="EL6" s="19">
        <f t="shared" si="55"/>
        <v>2.4300000000000002</v>
      </c>
      <c r="EM6" s="19">
        <f t="shared" si="56"/>
        <v>2.2499999999999996</v>
      </c>
      <c r="EN6" s="19">
        <f t="shared" si="57"/>
        <v>1.0099999999999998</v>
      </c>
      <c r="EO6" s="19">
        <f t="shared" si="58"/>
        <v>99.999999999999986</v>
      </c>
    </row>
    <row r="7" spans="1:176" s="18" customFormat="1" ht="14.5" customHeight="1">
      <c r="A7" s="1" t="s">
        <v>231</v>
      </c>
      <c r="B7" s="1">
        <v>4</v>
      </c>
      <c r="C7" s="11" t="s">
        <v>264</v>
      </c>
      <c r="D7" s="1" t="s">
        <v>263</v>
      </c>
      <c r="E7" s="12" t="s">
        <v>4</v>
      </c>
      <c r="F7" s="13"/>
      <c r="G7" s="14">
        <v>33.97</v>
      </c>
      <c r="H7" s="14">
        <v>6.36</v>
      </c>
      <c r="I7" s="14">
        <v>6.55</v>
      </c>
      <c r="J7" s="14">
        <v>16.649999999999999</v>
      </c>
      <c r="K7" s="14">
        <v>0.2</v>
      </c>
      <c r="L7" s="14">
        <v>15.26</v>
      </c>
      <c r="M7" s="14">
        <v>13.16</v>
      </c>
      <c r="N7" s="14">
        <v>2.29</v>
      </c>
      <c r="O7" s="14">
        <v>4.2</v>
      </c>
      <c r="P7" s="14">
        <v>1.36</v>
      </c>
      <c r="Q7" s="14">
        <v>2.11</v>
      </c>
      <c r="R7" s="15"/>
      <c r="S7" s="15">
        <f t="shared" si="0"/>
        <v>100</v>
      </c>
      <c r="T7" s="16"/>
      <c r="U7" s="17"/>
      <c r="V7" s="17"/>
      <c r="AF7" s="19">
        <f t="shared" si="1"/>
        <v>0.68111650124827938</v>
      </c>
      <c r="AG7" s="20">
        <f t="shared" si="2"/>
        <v>38128.200000000004</v>
      </c>
      <c r="AH7" s="20">
        <f t="shared" si="3"/>
        <v>34868.400000000001</v>
      </c>
      <c r="AI7" s="20">
        <f t="shared" si="4"/>
        <v>5935.0400000000009</v>
      </c>
      <c r="AJ7" s="19">
        <f t="shared" si="5"/>
        <v>6.49</v>
      </c>
      <c r="AK7" s="19">
        <f t="shared" si="6"/>
        <v>1.8340611353711791</v>
      </c>
      <c r="AL7" s="19">
        <f t="shared" si="7"/>
        <v>0.54523809523809519</v>
      </c>
      <c r="AM7" s="19">
        <f t="shared" si="8"/>
        <v>2.0091603053435114</v>
      </c>
      <c r="AN7" s="19">
        <f t="shared" si="9"/>
        <v>0.6412213740458016</v>
      </c>
      <c r="AO7" s="19">
        <f t="shared" si="10"/>
        <v>1.2691823524600643</v>
      </c>
      <c r="AP7" s="19">
        <f t="shared" si="11"/>
        <v>0.78790884388023008</v>
      </c>
      <c r="AQ7" s="19">
        <f t="shared" si="12"/>
        <v>0.2031665204501355</v>
      </c>
      <c r="AR7" s="19">
        <f t="shared" si="13"/>
        <v>1.2691823524600643</v>
      </c>
      <c r="AS7" s="20">
        <f t="shared" si="14"/>
        <v>996.99602515641789</v>
      </c>
      <c r="AT7" s="20">
        <f t="shared" si="15"/>
        <v>2229.5495657633855</v>
      </c>
      <c r="AU7" s="19">
        <f t="shared" si="16"/>
        <v>0.12363850456284958</v>
      </c>
      <c r="AV7" s="19">
        <f t="shared" si="17"/>
        <v>0.69404385666358726</v>
      </c>
      <c r="AX7" s="1">
        <v>91</v>
      </c>
      <c r="AY7" s="1">
        <v>1597</v>
      </c>
      <c r="AZ7" s="1">
        <v>1223</v>
      </c>
      <c r="BA7" s="1"/>
      <c r="BB7" s="1"/>
      <c r="BC7" s="1">
        <v>445</v>
      </c>
      <c r="BD7" s="1">
        <v>506</v>
      </c>
      <c r="BE7" s="1"/>
      <c r="BF7" s="1">
        <v>287</v>
      </c>
      <c r="BG7" s="1"/>
      <c r="BH7" s="1"/>
      <c r="BI7" s="1">
        <v>31</v>
      </c>
      <c r="BJ7" s="1">
        <v>580</v>
      </c>
      <c r="BK7" s="1"/>
      <c r="BL7" s="1"/>
      <c r="BM7" s="1"/>
      <c r="BN7" s="1">
        <v>113</v>
      </c>
      <c r="BO7" s="1">
        <v>215</v>
      </c>
      <c r="BP7" s="1"/>
      <c r="BQ7" s="1">
        <v>105</v>
      </c>
      <c r="BR7" s="1">
        <v>18.600000000000001</v>
      </c>
      <c r="BS7" s="1">
        <v>4.9000000000000004</v>
      </c>
      <c r="BT7" s="1">
        <v>13.7</v>
      </c>
      <c r="BU7" s="1"/>
      <c r="BV7" s="1">
        <v>7.6</v>
      </c>
      <c r="BW7" s="1">
        <v>1.3</v>
      </c>
      <c r="BX7" s="1">
        <v>3.4</v>
      </c>
      <c r="BY7" s="1"/>
      <c r="BZ7" s="1">
        <v>2.1</v>
      </c>
      <c r="CA7" s="1">
        <v>0.3</v>
      </c>
      <c r="CB7" s="1"/>
      <c r="CC7" s="1"/>
      <c r="CD7" s="1"/>
      <c r="CE7" s="21"/>
      <c r="CG7" s="22">
        <f t="shared" si="18"/>
        <v>466.94214876033061</v>
      </c>
      <c r="CH7" s="22">
        <f t="shared" si="19"/>
        <v>338.58267716535431</v>
      </c>
      <c r="CI7" s="22"/>
      <c r="CJ7" s="22">
        <f t="shared" si="20"/>
        <v>218.75</v>
      </c>
      <c r="CK7" s="22">
        <f t="shared" si="21"/>
        <v>119.23076923076924</v>
      </c>
      <c r="CL7" s="22">
        <v>37.059100000000001</v>
      </c>
      <c r="CM7" s="22">
        <f t="shared" si="22"/>
        <v>64.622641509433961</v>
      </c>
      <c r="CN7" s="22"/>
      <c r="CO7" s="22">
        <f t="shared" si="23"/>
        <v>29.343629343629342</v>
      </c>
      <c r="CP7" s="22">
        <f t="shared" si="24"/>
        <v>22.222222222222221</v>
      </c>
      <c r="CQ7" s="22">
        <f t="shared" si="25"/>
        <v>20.858895705521473</v>
      </c>
      <c r="CR7" s="22"/>
      <c r="CS7" s="22">
        <f t="shared" si="26"/>
        <v>12.650602409638553</v>
      </c>
      <c r="CT7" s="22">
        <f t="shared" si="27"/>
        <v>11.999999999999998</v>
      </c>
      <c r="CU7" s="22"/>
      <c r="CV7" s="22">
        <f t="shared" si="28"/>
        <v>10.823008849557523</v>
      </c>
      <c r="CW7" s="22"/>
      <c r="CX7" s="20"/>
      <c r="CY7" s="22"/>
      <c r="CZ7" s="22"/>
      <c r="DA7" s="22">
        <f t="shared" si="29"/>
        <v>4.8924731182795691</v>
      </c>
      <c r="DB7" s="22"/>
      <c r="DC7" s="22"/>
      <c r="DD7" s="22"/>
      <c r="DE7" s="22">
        <f>BM7/BZ7</f>
        <v>0</v>
      </c>
      <c r="DF7" s="22">
        <f t="shared" si="30"/>
        <v>0</v>
      </c>
      <c r="DG7" s="19">
        <f t="shared" si="31"/>
        <v>0</v>
      </c>
      <c r="DH7" s="20">
        <f t="shared" si="32"/>
        <v>308.56991150442479</v>
      </c>
      <c r="DI7" s="19"/>
      <c r="DJ7" s="22">
        <f t="shared" si="33"/>
        <v>376.66666666666669</v>
      </c>
      <c r="DK7" s="22">
        <f t="shared" si="34"/>
        <v>38.911845730027558</v>
      </c>
      <c r="DL7" s="22">
        <f t="shared" si="35"/>
        <v>3.9162889896027724</v>
      </c>
      <c r="DM7" s="22">
        <f t="shared" si="36"/>
        <v>53.80952380952381</v>
      </c>
      <c r="DN7" s="22">
        <f t="shared" si="37"/>
        <v>0</v>
      </c>
      <c r="DO7" s="22">
        <f t="shared" si="38"/>
        <v>8.8571428571428577</v>
      </c>
      <c r="DP7" s="20">
        <f t="shared" si="39"/>
        <v>760.47619047619048</v>
      </c>
      <c r="DQ7" s="22">
        <f t="shared" si="40"/>
        <v>15.209523809523809</v>
      </c>
      <c r="DR7" s="22">
        <f t="shared" si="41"/>
        <v>22.483056308947145</v>
      </c>
      <c r="DS7" s="19">
        <f t="shared" si="42"/>
        <v>0.93221222151196526</v>
      </c>
      <c r="DT7" s="23">
        <f t="shared" si="43"/>
        <v>6.2617407639323729E-4</v>
      </c>
      <c r="DU7" s="22">
        <f t="shared" si="44"/>
        <v>18.70967741935484</v>
      </c>
      <c r="DV7" s="22"/>
      <c r="DW7" s="22"/>
      <c r="DX7" s="22">
        <f t="shared" si="45"/>
        <v>0</v>
      </c>
      <c r="DY7" s="22">
        <f t="shared" si="46"/>
        <v>0</v>
      </c>
      <c r="DZ7" s="19">
        <f t="shared" si="47"/>
        <v>0.82404508453350034</v>
      </c>
      <c r="EA7" s="23"/>
      <c r="EB7" s="19"/>
      <c r="EC7" s="19"/>
      <c r="ED7" s="19"/>
      <c r="EE7" s="19">
        <f t="shared" si="48"/>
        <v>33.97</v>
      </c>
      <c r="EF7" s="19">
        <f t="shared" si="49"/>
        <v>6.36</v>
      </c>
      <c r="EG7" s="19">
        <f t="shared" si="50"/>
        <v>6.55</v>
      </c>
      <c r="EH7" s="19">
        <f t="shared" si="51"/>
        <v>16.649999999999999</v>
      </c>
      <c r="EI7" s="19">
        <f t="shared" si="52"/>
        <v>0.2</v>
      </c>
      <c r="EJ7" s="19">
        <f t="shared" si="53"/>
        <v>15.26</v>
      </c>
      <c r="EK7" s="19">
        <f t="shared" si="54"/>
        <v>13.16</v>
      </c>
      <c r="EL7" s="19">
        <f t="shared" si="55"/>
        <v>2.29</v>
      </c>
      <c r="EM7" s="19">
        <f t="shared" si="56"/>
        <v>4.2</v>
      </c>
      <c r="EN7" s="19">
        <f t="shared" si="57"/>
        <v>1.36</v>
      </c>
      <c r="EO7" s="19">
        <f t="shared" si="58"/>
        <v>100</v>
      </c>
    </row>
    <row r="8" spans="1:176" s="18" customFormat="1" ht="14.5" customHeight="1">
      <c r="A8" s="1" t="s">
        <v>231</v>
      </c>
      <c r="B8" s="1">
        <v>4</v>
      </c>
      <c r="C8" s="1" t="s">
        <v>262</v>
      </c>
      <c r="D8" s="1" t="s">
        <v>260</v>
      </c>
      <c r="E8" s="12" t="s">
        <v>23</v>
      </c>
      <c r="F8" s="13"/>
      <c r="G8" s="14">
        <v>41.98</v>
      </c>
      <c r="H8" s="14">
        <v>4.3499999999999996</v>
      </c>
      <c r="I8" s="14">
        <v>8.44</v>
      </c>
      <c r="J8" s="14">
        <v>14.37</v>
      </c>
      <c r="K8" s="14">
        <v>0.22</v>
      </c>
      <c r="L8" s="14">
        <v>11.9</v>
      </c>
      <c r="M8" s="14">
        <v>15.43</v>
      </c>
      <c r="N8" s="14">
        <v>1.8</v>
      </c>
      <c r="O8" s="14">
        <v>0.83</v>
      </c>
      <c r="P8" s="14">
        <v>0.69</v>
      </c>
      <c r="Q8" s="14">
        <v>2.13</v>
      </c>
      <c r="R8" s="15"/>
      <c r="S8" s="15">
        <f t="shared" si="0"/>
        <v>100.00999999999999</v>
      </c>
      <c r="T8" s="16"/>
      <c r="U8" s="17"/>
      <c r="V8" s="17"/>
      <c r="AF8" s="19">
        <f t="shared" si="1"/>
        <v>0.65869372490153411</v>
      </c>
      <c r="AG8" s="20">
        <f t="shared" si="2"/>
        <v>26078.249999999996</v>
      </c>
      <c r="AH8" s="20">
        <f t="shared" si="3"/>
        <v>6890.66</v>
      </c>
      <c r="AI8" s="20">
        <f t="shared" si="4"/>
        <v>3011.16</v>
      </c>
      <c r="AJ8" s="19">
        <f t="shared" si="5"/>
        <v>2.63</v>
      </c>
      <c r="AK8" s="19">
        <f t="shared" si="6"/>
        <v>0.46111111111111108</v>
      </c>
      <c r="AL8" s="19">
        <f t="shared" si="7"/>
        <v>2.168674698795181</v>
      </c>
      <c r="AM8" s="19">
        <f t="shared" si="8"/>
        <v>1.8281990521327016</v>
      </c>
      <c r="AN8" s="19">
        <f t="shared" si="9"/>
        <v>9.8341232227488154E-2</v>
      </c>
      <c r="AO8" s="19">
        <f t="shared" si="10"/>
        <v>0.45728174096593049</v>
      </c>
      <c r="AP8" s="19">
        <f t="shared" si="11"/>
        <v>2.1868356210498781</v>
      </c>
      <c r="AQ8" s="19">
        <f t="shared" si="12"/>
        <v>0.26446900171307941</v>
      </c>
      <c r="AR8" s="19">
        <f t="shared" si="13"/>
        <v>0.45728174096593049</v>
      </c>
      <c r="AS8" s="20">
        <f t="shared" si="14"/>
        <v>2089.4510959780573</v>
      </c>
      <c r="AT8" s="20">
        <f t="shared" si="15"/>
        <v>2323.9718023642472</v>
      </c>
      <c r="AU8" s="19">
        <f t="shared" si="16"/>
        <v>1.9771319676036209E-2</v>
      </c>
      <c r="AV8" s="19">
        <f t="shared" si="17"/>
        <v>0.10644237832181201</v>
      </c>
      <c r="AX8" s="1">
        <v>39</v>
      </c>
      <c r="AY8" s="1">
        <v>1842</v>
      </c>
      <c r="AZ8" s="1">
        <v>1209</v>
      </c>
      <c r="BA8" s="1"/>
      <c r="BB8" s="1">
        <v>39.299999999999997</v>
      </c>
      <c r="BC8" s="1">
        <v>445</v>
      </c>
      <c r="BD8" s="1">
        <v>585</v>
      </c>
      <c r="BE8" s="1"/>
      <c r="BF8" s="1">
        <v>262</v>
      </c>
      <c r="BG8" s="1"/>
      <c r="BH8" s="1"/>
      <c r="BI8" s="1">
        <v>24</v>
      </c>
      <c r="BJ8" s="1">
        <v>331</v>
      </c>
      <c r="BK8" s="1">
        <v>95</v>
      </c>
      <c r="BL8" s="1">
        <v>7.95</v>
      </c>
      <c r="BM8" s="1">
        <v>7.09</v>
      </c>
      <c r="BN8" s="1">
        <v>86</v>
      </c>
      <c r="BO8" s="1">
        <v>172</v>
      </c>
      <c r="BP8" s="1"/>
      <c r="BQ8" s="1">
        <v>80</v>
      </c>
      <c r="BR8" s="1">
        <v>12.9</v>
      </c>
      <c r="BS8" s="1">
        <v>3.57</v>
      </c>
      <c r="BT8" s="1">
        <v>9.08</v>
      </c>
      <c r="BU8" s="1"/>
      <c r="BV8" s="1">
        <v>5.33</v>
      </c>
      <c r="BW8" s="1">
        <v>0.85599999999999998</v>
      </c>
      <c r="BX8" s="1">
        <v>1.99</v>
      </c>
      <c r="BY8" s="1"/>
      <c r="BZ8" s="1">
        <v>1.504</v>
      </c>
      <c r="CA8" s="1">
        <v>0.218</v>
      </c>
      <c r="CB8" s="1"/>
      <c r="CC8" s="1">
        <v>10.199999999999999</v>
      </c>
      <c r="CD8" s="1">
        <v>2.39</v>
      </c>
      <c r="CE8" s="21"/>
      <c r="CG8" s="22">
        <f t="shared" si="18"/>
        <v>355.37190082644628</v>
      </c>
      <c r="CH8" s="22">
        <f t="shared" si="19"/>
        <v>270.86614173228344</v>
      </c>
      <c r="CI8" s="22"/>
      <c r="CJ8" s="22">
        <f t="shared" si="20"/>
        <v>166.66666666666669</v>
      </c>
      <c r="CK8" s="22">
        <f t="shared" si="21"/>
        <v>82.692307692307693</v>
      </c>
      <c r="CL8" s="22">
        <v>38.059100000000001</v>
      </c>
      <c r="CM8" s="22">
        <f t="shared" si="22"/>
        <v>42.830188679245282</v>
      </c>
      <c r="CN8" s="22"/>
      <c r="CO8" s="22">
        <f t="shared" si="23"/>
        <v>20.579150579150578</v>
      </c>
      <c r="CP8" s="22">
        <f t="shared" si="24"/>
        <v>14.632478632478632</v>
      </c>
      <c r="CQ8" s="22">
        <f t="shared" si="25"/>
        <v>12.208588957055214</v>
      </c>
      <c r="CR8" s="22"/>
      <c r="CS8" s="22">
        <f t="shared" si="26"/>
        <v>9.0602409638554207</v>
      </c>
      <c r="CT8" s="22">
        <f t="shared" si="27"/>
        <v>8.7199999999999989</v>
      </c>
      <c r="CU8" s="22">
        <f t="shared" ref="CU8:CU50" si="59">AZ8/BK8</f>
        <v>12.726315789473684</v>
      </c>
      <c r="CV8" s="22">
        <f t="shared" si="28"/>
        <v>14.05813953488372</v>
      </c>
      <c r="CW8" s="22">
        <f t="shared" ref="CW8:CW46" si="60">BN8/BK8</f>
        <v>0.90526315789473688</v>
      </c>
      <c r="CX8" s="20">
        <f t="shared" ref="CX8:CX39" si="61">AG8/BK8</f>
        <v>274.50789473684205</v>
      </c>
      <c r="CY8" s="22"/>
      <c r="CZ8" s="22">
        <f>BK8/CD8</f>
        <v>39.748953974895393</v>
      </c>
      <c r="DA8" s="22">
        <f t="shared" si="29"/>
        <v>3.0232558139534884</v>
      </c>
      <c r="DB8" s="22">
        <f t="shared" ref="DB8:DB39" si="62">BJ8/BK8</f>
        <v>3.4842105263157896</v>
      </c>
      <c r="DC8" s="22">
        <f>AZ8/CC8</f>
        <v>118.52941176470588</v>
      </c>
      <c r="DD8" s="22">
        <f>CC8/BM8</f>
        <v>1.4386459802538787</v>
      </c>
      <c r="DE8" s="22">
        <f>BM8/BZ8</f>
        <v>4.7140957446808507</v>
      </c>
      <c r="DF8" s="22">
        <f t="shared" si="30"/>
        <v>6.7819148936170208</v>
      </c>
      <c r="DG8" s="19">
        <f t="shared" si="31"/>
        <v>3.9583333333333335</v>
      </c>
      <c r="DH8" s="20">
        <f t="shared" si="32"/>
        <v>80.123953488372095</v>
      </c>
      <c r="DI8" s="19">
        <f>(BK8/0.46)/((O8/0.023)*(CD8/0.017))^0.5</f>
        <v>2.8994535500914265</v>
      </c>
      <c r="DJ8" s="22">
        <f t="shared" si="33"/>
        <v>394.49541284403671</v>
      </c>
      <c r="DK8" s="22">
        <f t="shared" si="34"/>
        <v>40.753658351656689</v>
      </c>
      <c r="DL8" s="22">
        <f t="shared" si="35"/>
        <v>4.2975206611570247</v>
      </c>
      <c r="DM8" s="22">
        <f t="shared" si="36"/>
        <v>57.180851063829785</v>
      </c>
      <c r="DN8" s="22">
        <f t="shared" si="37"/>
        <v>9.9375000000000005E-2</v>
      </c>
      <c r="DO8" s="22">
        <f t="shared" si="38"/>
        <v>8.5771276595744688</v>
      </c>
      <c r="DP8" s="20">
        <f t="shared" si="39"/>
        <v>1224.7340425531916</v>
      </c>
      <c r="DQ8" s="22">
        <f t="shared" si="40"/>
        <v>23.024999999999999</v>
      </c>
      <c r="DR8" s="22">
        <f t="shared" si="41"/>
        <v>38.248907431198091</v>
      </c>
      <c r="DS8" s="19">
        <f t="shared" si="42"/>
        <v>1.0017651167163864</v>
      </c>
      <c r="DT8" s="23">
        <f t="shared" si="43"/>
        <v>5.428881650380022E-4</v>
      </c>
      <c r="DU8" s="22">
        <f t="shared" si="44"/>
        <v>13.791666666666666</v>
      </c>
      <c r="DV8" s="22">
        <f>BK8/BM8</f>
        <v>13.399153737658674</v>
      </c>
      <c r="DW8" s="22">
        <f t="shared" ref="DW8:DW46" si="63">1.74+LOG(BK8/BI8)-1.92*LOG(BJ8/BI8)</f>
        <v>0.14944819961414568</v>
      </c>
      <c r="DX8" s="22">
        <f t="shared" si="45"/>
        <v>28.700906344410875</v>
      </c>
      <c r="DY8" s="22">
        <f t="shared" si="46"/>
        <v>3.0815709969788516</v>
      </c>
      <c r="DZ8" s="19">
        <f t="shared" si="47"/>
        <v>0.83759267938569881</v>
      </c>
      <c r="EA8" s="23"/>
      <c r="EB8" s="19">
        <f>CC8/BK8</f>
        <v>0.10736842105263157</v>
      </c>
      <c r="EC8" s="19"/>
      <c r="ED8" s="19"/>
      <c r="EE8" s="19">
        <f t="shared" si="48"/>
        <v>41.975802419758026</v>
      </c>
      <c r="EF8" s="19">
        <f t="shared" si="49"/>
        <v>4.3495650434956499</v>
      </c>
      <c r="EG8" s="19">
        <f t="shared" si="50"/>
        <v>8.439156084391561</v>
      </c>
      <c r="EH8" s="19">
        <f t="shared" si="51"/>
        <v>14.368563143685632</v>
      </c>
      <c r="EI8" s="19">
        <f t="shared" si="52"/>
        <v>0.21997800219978003</v>
      </c>
      <c r="EJ8" s="19">
        <f t="shared" si="53"/>
        <v>11.898810118988102</v>
      </c>
      <c r="EK8" s="19">
        <f t="shared" si="54"/>
        <v>15.428457154284573</v>
      </c>
      <c r="EL8" s="19">
        <f t="shared" si="55"/>
        <v>1.7998200179982002</v>
      </c>
      <c r="EM8" s="19">
        <f t="shared" si="56"/>
        <v>0.82991700829917014</v>
      </c>
      <c r="EN8" s="19">
        <f t="shared" si="57"/>
        <v>0.68993100689931008</v>
      </c>
      <c r="EO8" s="19">
        <f t="shared" si="58"/>
        <v>100.00000000000003</v>
      </c>
    </row>
    <row r="9" spans="1:176" s="18" customFormat="1" ht="14.5" customHeight="1">
      <c r="A9" s="1" t="s">
        <v>231</v>
      </c>
      <c r="B9" s="1">
        <v>4</v>
      </c>
      <c r="C9" s="1" t="s">
        <v>262</v>
      </c>
      <c r="D9" s="1" t="s">
        <v>260</v>
      </c>
      <c r="E9" s="12" t="s">
        <v>23</v>
      </c>
      <c r="F9" s="13"/>
      <c r="G9" s="14">
        <v>41.65</v>
      </c>
      <c r="H9" s="14">
        <v>3.49</v>
      </c>
      <c r="I9" s="14">
        <v>6.85</v>
      </c>
      <c r="J9" s="14">
        <v>13.39</v>
      </c>
      <c r="K9" s="14">
        <v>0.2</v>
      </c>
      <c r="L9" s="14">
        <v>18.46</v>
      </c>
      <c r="M9" s="14">
        <v>13.39</v>
      </c>
      <c r="N9" s="14">
        <v>1.18</v>
      </c>
      <c r="O9" s="14">
        <v>0.9</v>
      </c>
      <c r="P9" s="14">
        <v>0.49</v>
      </c>
      <c r="Q9" s="14">
        <v>1.47</v>
      </c>
      <c r="R9" s="15"/>
      <c r="S9" s="15">
        <f t="shared" si="0"/>
        <v>100</v>
      </c>
      <c r="T9" s="16"/>
      <c r="U9" s="17"/>
      <c r="V9" s="17"/>
      <c r="AF9" s="19">
        <f t="shared" si="1"/>
        <v>0.7626350535211156</v>
      </c>
      <c r="AG9" s="20">
        <f t="shared" si="2"/>
        <v>20922.550000000003</v>
      </c>
      <c r="AH9" s="20">
        <f t="shared" si="3"/>
        <v>7471.8</v>
      </c>
      <c r="AI9" s="20">
        <f t="shared" si="4"/>
        <v>2138.36</v>
      </c>
      <c r="AJ9" s="19">
        <f t="shared" si="5"/>
        <v>2.08</v>
      </c>
      <c r="AK9" s="19">
        <f t="shared" si="6"/>
        <v>0.76271186440677974</v>
      </c>
      <c r="AL9" s="19">
        <f t="shared" si="7"/>
        <v>1.3111111111111111</v>
      </c>
      <c r="AM9" s="19">
        <f t="shared" si="8"/>
        <v>1.9547445255474454</v>
      </c>
      <c r="AN9" s="19">
        <f t="shared" si="9"/>
        <v>0.13138686131386862</v>
      </c>
      <c r="AO9" s="19">
        <f t="shared" si="10"/>
        <v>0.42559056040102733</v>
      </c>
      <c r="AP9" s="19">
        <f t="shared" si="11"/>
        <v>2.3496761748139234</v>
      </c>
      <c r="AQ9" s="19">
        <f t="shared" si="12"/>
        <v>0.25128502351738474</v>
      </c>
      <c r="AR9" s="19">
        <f t="shared" si="13"/>
        <v>0.42559056040102733</v>
      </c>
      <c r="AS9" s="20">
        <f t="shared" si="14"/>
        <v>2203.3595078339495</v>
      </c>
      <c r="AT9" s="20">
        <f t="shared" si="15"/>
        <v>2415.9085323725117</v>
      </c>
      <c r="AU9" s="19">
        <f t="shared" si="16"/>
        <v>2.1608643457382955E-2</v>
      </c>
      <c r="AV9" s="19">
        <f t="shared" si="17"/>
        <v>0.14221023757496859</v>
      </c>
      <c r="AX9" s="1">
        <v>26</v>
      </c>
      <c r="AY9" s="1">
        <v>1110</v>
      </c>
      <c r="AZ9" s="1">
        <v>872</v>
      </c>
      <c r="BA9" s="1"/>
      <c r="BB9" s="1">
        <v>36.200000000000003</v>
      </c>
      <c r="BC9" s="1">
        <v>335</v>
      </c>
      <c r="BD9" s="1">
        <v>1952</v>
      </c>
      <c r="BE9" s="1"/>
      <c r="BF9" s="1">
        <v>470</v>
      </c>
      <c r="BG9" s="1"/>
      <c r="BH9" s="1"/>
      <c r="BI9" s="1">
        <v>17</v>
      </c>
      <c r="BJ9" s="1">
        <v>241</v>
      </c>
      <c r="BK9" s="1">
        <v>69</v>
      </c>
      <c r="BL9" s="1">
        <v>6.25</v>
      </c>
      <c r="BM9" s="1">
        <v>5.03</v>
      </c>
      <c r="BN9" s="1">
        <v>58</v>
      </c>
      <c r="BO9" s="1">
        <v>117</v>
      </c>
      <c r="BP9" s="1"/>
      <c r="BQ9" s="1">
        <v>55</v>
      </c>
      <c r="BR9" s="1">
        <v>9</v>
      </c>
      <c r="BS9" s="1">
        <v>2.52</v>
      </c>
      <c r="BT9" s="1">
        <v>6.71</v>
      </c>
      <c r="BU9" s="1"/>
      <c r="BV9" s="1">
        <v>4.03</v>
      </c>
      <c r="BW9" s="1">
        <v>0.64400000000000002</v>
      </c>
      <c r="BX9" s="1">
        <v>1.52</v>
      </c>
      <c r="BY9" s="1"/>
      <c r="BZ9" s="1">
        <v>1.133</v>
      </c>
      <c r="CA9" s="1">
        <v>0.16300000000000001</v>
      </c>
      <c r="CB9" s="1"/>
      <c r="CC9" s="1">
        <v>7.6</v>
      </c>
      <c r="CD9" s="1">
        <v>1.79</v>
      </c>
      <c r="CE9" s="21"/>
      <c r="CG9" s="22">
        <f t="shared" si="18"/>
        <v>239.6694214876033</v>
      </c>
      <c r="CH9" s="22">
        <f t="shared" si="19"/>
        <v>184.25196850393701</v>
      </c>
      <c r="CI9" s="22"/>
      <c r="CJ9" s="22">
        <f t="shared" si="20"/>
        <v>114.58333333333334</v>
      </c>
      <c r="CK9" s="22">
        <f t="shared" si="21"/>
        <v>57.692307692307693</v>
      </c>
      <c r="CL9" s="22">
        <v>39.059100000000001</v>
      </c>
      <c r="CM9" s="22">
        <f t="shared" si="22"/>
        <v>31.650943396226417</v>
      </c>
      <c r="CN9" s="22"/>
      <c r="CO9" s="22">
        <f t="shared" si="23"/>
        <v>15.559845559845561</v>
      </c>
      <c r="CP9" s="22">
        <f t="shared" si="24"/>
        <v>11.008547008547009</v>
      </c>
      <c r="CQ9" s="22">
        <f t="shared" si="25"/>
        <v>9.3251533742331283</v>
      </c>
      <c r="CR9" s="22"/>
      <c r="CS9" s="22">
        <f t="shared" si="26"/>
        <v>6.8253012048192767</v>
      </c>
      <c r="CT9" s="22">
        <f t="shared" si="27"/>
        <v>6.52</v>
      </c>
      <c r="CU9" s="22">
        <f t="shared" si="59"/>
        <v>12.637681159420289</v>
      </c>
      <c r="CV9" s="22">
        <f t="shared" si="28"/>
        <v>15.03448275862069</v>
      </c>
      <c r="CW9" s="22">
        <f t="shared" si="60"/>
        <v>0.84057971014492749</v>
      </c>
      <c r="CX9" s="20">
        <f t="shared" si="61"/>
        <v>303.22536231884061</v>
      </c>
      <c r="CY9" s="22"/>
      <c r="CZ9" s="22">
        <f>BK9/CD9</f>
        <v>38.547486033519554</v>
      </c>
      <c r="DA9" s="22">
        <f t="shared" si="29"/>
        <v>2.8888888888888888</v>
      </c>
      <c r="DB9" s="22">
        <f t="shared" si="62"/>
        <v>3.4927536231884058</v>
      </c>
      <c r="DC9" s="22">
        <f>AZ9/CC9</f>
        <v>114.73684210526316</v>
      </c>
      <c r="DD9" s="22">
        <f>CC9/BM9</f>
        <v>1.5109343936381707</v>
      </c>
      <c r="DE9" s="22">
        <f>BM9/BZ9</f>
        <v>4.4395410414827889</v>
      </c>
      <c r="DF9" s="22">
        <f t="shared" si="30"/>
        <v>6.7078552515445713</v>
      </c>
      <c r="DG9" s="19">
        <f t="shared" si="31"/>
        <v>4.0588235294117645</v>
      </c>
      <c r="DH9" s="20">
        <f t="shared" si="32"/>
        <v>128.8241379310345</v>
      </c>
      <c r="DI9" s="19">
        <f>(BK9/0.46)/((O9/0.023)*(CD9/0.017))^0.5</f>
        <v>2.3368555485413736</v>
      </c>
      <c r="DJ9" s="22">
        <f t="shared" si="33"/>
        <v>355.82822085889569</v>
      </c>
      <c r="DK9" s="22">
        <f t="shared" si="34"/>
        <v>36.759113725092533</v>
      </c>
      <c r="DL9" s="22">
        <f t="shared" si="35"/>
        <v>4.1542699724517904</v>
      </c>
      <c r="DM9" s="22">
        <f t="shared" si="36"/>
        <v>51.191526919682261</v>
      </c>
      <c r="DN9" s="22">
        <f t="shared" si="37"/>
        <v>0.11363636363636363</v>
      </c>
      <c r="DO9" s="22">
        <f t="shared" si="38"/>
        <v>7.9435127978817297</v>
      </c>
      <c r="DP9" s="20">
        <f t="shared" si="39"/>
        <v>979.69991173874666</v>
      </c>
      <c r="DQ9" s="22">
        <f t="shared" si="40"/>
        <v>20.181818181818183</v>
      </c>
      <c r="DR9" s="22">
        <f t="shared" si="41"/>
        <v>32.100193600820141</v>
      </c>
      <c r="DS9" s="19">
        <f t="shared" si="42"/>
        <v>0.98481236759272894</v>
      </c>
      <c r="DT9" s="23">
        <f t="shared" si="43"/>
        <v>9.0090090090090091E-4</v>
      </c>
      <c r="DU9" s="22">
        <f t="shared" si="44"/>
        <v>14.176470588235293</v>
      </c>
      <c r="DV9" s="22">
        <f>BK9/BM9</f>
        <v>13.71769383697813</v>
      </c>
      <c r="DW9" s="22">
        <f t="shared" si="63"/>
        <v>0.13738937666151996</v>
      </c>
      <c r="DX9" s="22">
        <f t="shared" si="45"/>
        <v>28.630705394190873</v>
      </c>
      <c r="DY9" s="22">
        <f t="shared" si="46"/>
        <v>3.1535269709543567</v>
      </c>
      <c r="DZ9" s="19">
        <f t="shared" si="47"/>
        <v>1.2063063063063062</v>
      </c>
      <c r="EA9" s="23"/>
      <c r="EB9" s="19">
        <f>CC9/BK9</f>
        <v>0.11014492753623188</v>
      </c>
      <c r="EC9" s="19"/>
      <c r="ED9" s="19"/>
      <c r="EE9" s="19">
        <f t="shared" si="48"/>
        <v>41.65</v>
      </c>
      <c r="EF9" s="19">
        <f t="shared" si="49"/>
        <v>3.49</v>
      </c>
      <c r="EG9" s="19">
        <f t="shared" si="50"/>
        <v>6.85</v>
      </c>
      <c r="EH9" s="19">
        <f t="shared" si="51"/>
        <v>13.39</v>
      </c>
      <c r="EI9" s="19">
        <f t="shared" si="52"/>
        <v>0.2</v>
      </c>
      <c r="EJ9" s="19">
        <f t="shared" si="53"/>
        <v>18.46</v>
      </c>
      <c r="EK9" s="19">
        <f t="shared" si="54"/>
        <v>13.39</v>
      </c>
      <c r="EL9" s="19">
        <f t="shared" si="55"/>
        <v>1.18</v>
      </c>
      <c r="EM9" s="19">
        <f t="shared" si="56"/>
        <v>0.9</v>
      </c>
      <c r="EN9" s="19">
        <f t="shared" si="57"/>
        <v>0.49</v>
      </c>
      <c r="EO9" s="19">
        <f t="shared" si="58"/>
        <v>100</v>
      </c>
    </row>
    <row r="10" spans="1:176" s="18" customFormat="1" ht="14.5" customHeight="1">
      <c r="A10" s="1" t="s">
        <v>231</v>
      </c>
      <c r="B10" s="1">
        <v>4</v>
      </c>
      <c r="C10" s="1" t="s">
        <v>262</v>
      </c>
      <c r="D10" s="1" t="s">
        <v>261</v>
      </c>
      <c r="E10" s="12" t="s">
        <v>23</v>
      </c>
      <c r="F10" s="13"/>
      <c r="G10" s="14">
        <v>41.22</v>
      </c>
      <c r="H10" s="14">
        <v>4.53</v>
      </c>
      <c r="I10" s="14">
        <v>9.09</v>
      </c>
      <c r="J10" s="14">
        <v>15.11</v>
      </c>
      <c r="K10" s="14">
        <v>0.2</v>
      </c>
      <c r="L10" s="14">
        <v>10.52</v>
      </c>
      <c r="M10" s="14">
        <v>13.55</v>
      </c>
      <c r="N10" s="14">
        <v>2.4</v>
      </c>
      <c r="O10" s="14">
        <v>2.52</v>
      </c>
      <c r="P10" s="14">
        <v>0.85</v>
      </c>
      <c r="Q10" s="14">
        <v>1.57</v>
      </c>
      <c r="R10" s="15"/>
      <c r="S10" s="15">
        <f t="shared" si="0"/>
        <v>99.99</v>
      </c>
      <c r="T10" s="16"/>
      <c r="U10" s="17"/>
      <c r="V10" s="17"/>
      <c r="AF10" s="19">
        <f t="shared" si="1"/>
        <v>0.61869295164027671</v>
      </c>
      <c r="AG10" s="20">
        <f t="shared" si="2"/>
        <v>27157.350000000002</v>
      </c>
      <c r="AH10" s="20">
        <f t="shared" si="3"/>
        <v>20921.04</v>
      </c>
      <c r="AI10" s="20">
        <f t="shared" si="4"/>
        <v>3709.4</v>
      </c>
      <c r="AJ10" s="19">
        <f t="shared" si="5"/>
        <v>4.92</v>
      </c>
      <c r="AK10" s="19">
        <f t="shared" si="6"/>
        <v>1.05</v>
      </c>
      <c r="AL10" s="19">
        <f t="shared" si="7"/>
        <v>0.95238095238095233</v>
      </c>
      <c r="AM10" s="19">
        <f t="shared" si="8"/>
        <v>1.4906490649064905</v>
      </c>
      <c r="AN10" s="19">
        <f t="shared" si="9"/>
        <v>0.27722772277227725</v>
      </c>
      <c r="AO10" s="19">
        <f t="shared" si="10"/>
        <v>0.7344009517025718</v>
      </c>
      <c r="AP10" s="19">
        <f t="shared" si="11"/>
        <v>1.3616540088648936</v>
      </c>
      <c r="AQ10" s="19">
        <f t="shared" si="12"/>
        <v>0.29031154980419149</v>
      </c>
      <c r="AR10" s="19">
        <f t="shared" si="13"/>
        <v>0.7344009517025718</v>
      </c>
      <c r="AS10" s="20">
        <f t="shared" si="14"/>
        <v>1721.6256861220506</v>
      </c>
      <c r="AT10" s="20">
        <f t="shared" si="15"/>
        <v>2061.157785185691</v>
      </c>
      <c r="AU10" s="19">
        <f t="shared" si="16"/>
        <v>6.1135371179039305E-2</v>
      </c>
      <c r="AV10" s="19">
        <f t="shared" si="17"/>
        <v>0.30006516575224401</v>
      </c>
      <c r="AX10" s="1">
        <v>55</v>
      </c>
      <c r="AY10" s="1">
        <v>1642</v>
      </c>
      <c r="AZ10" s="1">
        <v>1450</v>
      </c>
      <c r="BA10" s="1"/>
      <c r="BB10" s="1"/>
      <c r="BC10" s="1">
        <v>419</v>
      </c>
      <c r="BD10" s="1">
        <v>350</v>
      </c>
      <c r="BE10" s="1"/>
      <c r="BF10" s="1">
        <v>137</v>
      </c>
      <c r="BG10" s="1"/>
      <c r="BH10" s="1"/>
      <c r="BI10" s="1">
        <v>27</v>
      </c>
      <c r="BJ10" s="1">
        <v>408</v>
      </c>
      <c r="BK10" s="1">
        <v>155</v>
      </c>
      <c r="BL10" s="1"/>
      <c r="BM10" s="1"/>
      <c r="BN10" s="1">
        <v>104</v>
      </c>
      <c r="BO10" s="1">
        <v>205</v>
      </c>
      <c r="BP10" s="1"/>
      <c r="BQ10" s="1">
        <v>91</v>
      </c>
      <c r="BR10" s="1">
        <v>12.75</v>
      </c>
      <c r="BS10" s="1">
        <v>3.62</v>
      </c>
      <c r="BT10" s="1">
        <v>9.0299999999999994</v>
      </c>
      <c r="BU10" s="1"/>
      <c r="BV10" s="1">
        <v>4.99</v>
      </c>
      <c r="BW10" s="1">
        <v>0.88800000000000001</v>
      </c>
      <c r="BX10" s="1">
        <v>1.8380000000000001</v>
      </c>
      <c r="BY10" s="1"/>
      <c r="BZ10" s="1">
        <v>1.4970000000000001</v>
      </c>
      <c r="CA10" s="1">
        <v>0.315</v>
      </c>
      <c r="CB10" s="1"/>
      <c r="CC10" s="1">
        <v>7</v>
      </c>
      <c r="CD10" s="1"/>
      <c r="CE10" s="21"/>
      <c r="CG10" s="22">
        <f t="shared" si="18"/>
        <v>429.75206611570252</v>
      </c>
      <c r="CH10" s="22">
        <f t="shared" si="19"/>
        <v>322.83464566929132</v>
      </c>
      <c r="CI10" s="22"/>
      <c r="CJ10" s="22">
        <f t="shared" si="20"/>
        <v>189.58333333333334</v>
      </c>
      <c r="CK10" s="22">
        <f t="shared" si="21"/>
        <v>81.730769230769226</v>
      </c>
      <c r="CL10" s="22">
        <v>40.059100000000001</v>
      </c>
      <c r="CM10" s="22">
        <f t="shared" si="22"/>
        <v>42.594339622641506</v>
      </c>
      <c r="CN10" s="22"/>
      <c r="CO10" s="22">
        <f t="shared" si="23"/>
        <v>19.266409266409266</v>
      </c>
      <c r="CP10" s="22">
        <f t="shared" si="24"/>
        <v>15.179487179487179</v>
      </c>
      <c r="CQ10" s="22">
        <f t="shared" si="25"/>
        <v>11.276073619631902</v>
      </c>
      <c r="CR10" s="22"/>
      <c r="CS10" s="22">
        <f t="shared" si="26"/>
        <v>9.0180722891566258</v>
      </c>
      <c r="CT10" s="22">
        <f t="shared" si="27"/>
        <v>12.6</v>
      </c>
      <c r="CU10" s="22">
        <f t="shared" si="59"/>
        <v>9.3548387096774199</v>
      </c>
      <c r="CV10" s="22">
        <f t="shared" si="28"/>
        <v>13.942307692307692</v>
      </c>
      <c r="CW10" s="22">
        <f t="shared" si="60"/>
        <v>0.67096774193548392</v>
      </c>
      <c r="CX10" s="20">
        <f t="shared" si="61"/>
        <v>175.20870967741936</v>
      </c>
      <c r="CY10" s="22"/>
      <c r="CZ10" s="22"/>
      <c r="DA10" s="22">
        <f t="shared" si="29"/>
        <v>4.3137254901960782</v>
      </c>
      <c r="DB10" s="22">
        <f t="shared" si="62"/>
        <v>2.6322580645161291</v>
      </c>
      <c r="DC10" s="22">
        <f>AZ10/CC10</f>
        <v>207.14285714285714</v>
      </c>
      <c r="DD10" s="22"/>
      <c r="DE10" s="22"/>
      <c r="DF10" s="22">
        <f t="shared" si="30"/>
        <v>4.6760187040748162</v>
      </c>
      <c r="DG10" s="19">
        <f t="shared" si="31"/>
        <v>5.7407407407407405</v>
      </c>
      <c r="DH10" s="20">
        <f t="shared" si="32"/>
        <v>201.16384615384615</v>
      </c>
      <c r="DI10" s="19"/>
      <c r="DJ10" s="22">
        <f t="shared" si="33"/>
        <v>330.15873015873018</v>
      </c>
      <c r="DK10" s="22">
        <f t="shared" si="34"/>
        <v>34.107306834579568</v>
      </c>
      <c r="DL10" s="22">
        <f t="shared" si="35"/>
        <v>5.2581429265921251</v>
      </c>
      <c r="DM10" s="22">
        <f t="shared" si="36"/>
        <v>69.472277889111552</v>
      </c>
      <c r="DN10" s="22">
        <f t="shared" si="37"/>
        <v>0</v>
      </c>
      <c r="DO10" s="22">
        <f t="shared" si="38"/>
        <v>8.5170340681362724</v>
      </c>
      <c r="DP10" s="20">
        <f t="shared" si="39"/>
        <v>1096.8603874415496</v>
      </c>
      <c r="DQ10" s="22">
        <f t="shared" si="40"/>
        <v>18.043956043956044</v>
      </c>
      <c r="DR10" s="22">
        <f t="shared" si="41"/>
        <v>34.3907282916553</v>
      </c>
      <c r="DS10" s="19">
        <f t="shared" si="42"/>
        <v>1.0245781052753087</v>
      </c>
      <c r="DT10" s="23">
        <f t="shared" si="43"/>
        <v>6.0901339829476245E-4</v>
      </c>
      <c r="DU10" s="22">
        <f t="shared" si="44"/>
        <v>15.111111111111111</v>
      </c>
      <c r="DV10" s="22"/>
      <c r="DW10" s="22">
        <f t="shared" si="63"/>
        <v>0.23471884806399057</v>
      </c>
      <c r="DX10" s="22">
        <f t="shared" si="45"/>
        <v>37.990196078431374</v>
      </c>
      <c r="DY10" s="22">
        <f t="shared" si="46"/>
        <v>1.7156862745098038</v>
      </c>
      <c r="DZ10" s="19">
        <f t="shared" si="47"/>
        <v>0.82529568425782895</v>
      </c>
      <c r="EA10" s="23"/>
      <c r="EB10" s="19">
        <f>CC10/BK10</f>
        <v>4.5161290322580643E-2</v>
      </c>
      <c r="EC10" s="19"/>
      <c r="ED10" s="19"/>
      <c r="EE10" s="19">
        <f t="shared" si="48"/>
        <v>41.224122412241229</v>
      </c>
      <c r="EF10" s="19">
        <f t="shared" si="49"/>
        <v>4.5304530453045304</v>
      </c>
      <c r="EG10" s="19">
        <f t="shared" si="50"/>
        <v>9.0909090909090917</v>
      </c>
      <c r="EH10" s="19">
        <f t="shared" si="51"/>
        <v>15.111511151115112</v>
      </c>
      <c r="EI10" s="19">
        <f t="shared" si="52"/>
        <v>0.20002000200020004</v>
      </c>
      <c r="EJ10" s="19">
        <f t="shared" si="53"/>
        <v>10.521052105210522</v>
      </c>
      <c r="EK10" s="19">
        <f t="shared" si="54"/>
        <v>13.551355135513552</v>
      </c>
      <c r="EL10" s="19">
        <f t="shared" si="55"/>
        <v>2.4002400240024002</v>
      </c>
      <c r="EM10" s="19">
        <f t="shared" si="56"/>
        <v>2.5202520252025202</v>
      </c>
      <c r="EN10" s="19">
        <f t="shared" si="57"/>
        <v>0.85008500850085011</v>
      </c>
      <c r="EO10" s="19">
        <f t="shared" si="58"/>
        <v>100.00000000000001</v>
      </c>
    </row>
    <row r="11" spans="1:176" s="18" customFormat="1" ht="14.5" customHeight="1">
      <c r="A11" s="1" t="s">
        <v>231</v>
      </c>
      <c r="B11" s="1">
        <v>4</v>
      </c>
      <c r="C11" s="1" t="s">
        <v>254</v>
      </c>
      <c r="D11" s="1" t="s">
        <v>259</v>
      </c>
      <c r="E11" s="12" t="s">
        <v>23</v>
      </c>
      <c r="F11" s="13"/>
      <c r="G11" s="14">
        <v>41.56</v>
      </c>
      <c r="H11" s="14">
        <v>4.3099999999999996</v>
      </c>
      <c r="I11" s="14">
        <v>5.04</v>
      </c>
      <c r="J11" s="14">
        <v>13.95</v>
      </c>
      <c r="K11" s="14">
        <v>0.21</v>
      </c>
      <c r="L11" s="14">
        <v>23.58</v>
      </c>
      <c r="M11" s="14">
        <v>10.130000000000001</v>
      </c>
      <c r="N11" s="14">
        <v>0.39</v>
      </c>
      <c r="O11" s="14">
        <v>0.28999999999999998</v>
      </c>
      <c r="P11" s="14">
        <v>0.55000000000000004</v>
      </c>
      <c r="Q11" s="14">
        <v>3.27</v>
      </c>
      <c r="R11" s="15"/>
      <c r="S11" s="15">
        <f t="shared" si="0"/>
        <v>100.00999999999999</v>
      </c>
      <c r="T11" s="16"/>
      <c r="U11" s="17"/>
      <c r="V11" s="17"/>
      <c r="AF11" s="19">
        <f t="shared" si="1"/>
        <v>0.7975420119630382</v>
      </c>
      <c r="AG11" s="20">
        <f t="shared" si="2"/>
        <v>25838.449999999997</v>
      </c>
      <c r="AH11" s="20">
        <f t="shared" si="3"/>
        <v>2407.58</v>
      </c>
      <c r="AI11" s="20">
        <f t="shared" si="4"/>
        <v>2400.2000000000003</v>
      </c>
      <c r="AJ11" s="19">
        <f t="shared" si="5"/>
        <v>0.67999999999999994</v>
      </c>
      <c r="AK11" s="19">
        <f t="shared" si="6"/>
        <v>0.7435897435897435</v>
      </c>
      <c r="AL11" s="19">
        <f t="shared" si="7"/>
        <v>1.3448275862068968</v>
      </c>
      <c r="AM11" s="19">
        <f t="shared" si="8"/>
        <v>2.0099206349206353</v>
      </c>
      <c r="AN11" s="19">
        <f t="shared" si="9"/>
        <v>5.7539682539682536E-2</v>
      </c>
      <c r="AO11" s="19">
        <f t="shared" si="10"/>
        <v>0.18957496913191474</v>
      </c>
      <c r="AP11" s="19">
        <f t="shared" si="11"/>
        <v>5.2749579998831768</v>
      </c>
      <c r="AQ11" s="19">
        <f t="shared" si="12"/>
        <v>0.260156117916991</v>
      </c>
      <c r="AR11" s="19">
        <f t="shared" si="13"/>
        <v>0.18957496913191474</v>
      </c>
      <c r="AS11" s="20">
        <f t="shared" si="14"/>
        <v>2381.0203803311724</v>
      </c>
      <c r="AT11" s="20">
        <f t="shared" si="15"/>
        <v>2303.2329957406878</v>
      </c>
      <c r="AU11" s="19">
        <f t="shared" si="16"/>
        <v>6.977863330125119E-3</v>
      </c>
      <c r="AV11" s="19">
        <f t="shared" si="17"/>
        <v>6.2279681865669116E-2</v>
      </c>
      <c r="AX11" s="1">
        <v>17</v>
      </c>
      <c r="AY11" s="1">
        <v>640</v>
      </c>
      <c r="AZ11" s="1">
        <v>510</v>
      </c>
      <c r="BA11" s="1"/>
      <c r="BB11" s="1"/>
      <c r="BC11" s="1">
        <v>220</v>
      </c>
      <c r="BD11" s="1">
        <v>1500</v>
      </c>
      <c r="BE11" s="1"/>
      <c r="BF11" s="1">
        <v>510</v>
      </c>
      <c r="BG11" s="1"/>
      <c r="BH11" s="1"/>
      <c r="BI11" s="1">
        <v>48</v>
      </c>
      <c r="BJ11" s="1">
        <v>320</v>
      </c>
      <c r="BK11" s="1">
        <v>89</v>
      </c>
      <c r="BL11" s="1"/>
      <c r="BM11" s="1"/>
      <c r="BN11" s="1">
        <v>110</v>
      </c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>
        <v>2</v>
      </c>
      <c r="CA11" s="1"/>
      <c r="CB11" s="1"/>
      <c r="CC11" s="1"/>
      <c r="CD11" s="1">
        <v>2</v>
      </c>
      <c r="CE11" s="21"/>
      <c r="CG11" s="22">
        <f t="shared" si="18"/>
        <v>454.54545454545456</v>
      </c>
      <c r="CH11" s="22"/>
      <c r="CI11" s="22"/>
      <c r="CJ11" s="22"/>
      <c r="CK11" s="22"/>
      <c r="CL11" s="22">
        <v>41.059100000000001</v>
      </c>
      <c r="CM11" s="22"/>
      <c r="CN11" s="22"/>
      <c r="CO11" s="22"/>
      <c r="CP11" s="22"/>
      <c r="CQ11" s="22"/>
      <c r="CR11" s="22"/>
      <c r="CS11" s="22">
        <f t="shared" si="26"/>
        <v>12.048192771084336</v>
      </c>
      <c r="CT11" s="22"/>
      <c r="CU11" s="22">
        <f t="shared" si="59"/>
        <v>5.7303370786516856</v>
      </c>
      <c r="CV11" s="22">
        <f t="shared" si="28"/>
        <v>4.6363636363636367</v>
      </c>
      <c r="CW11" s="22">
        <f t="shared" si="60"/>
        <v>1.2359550561797752</v>
      </c>
      <c r="CX11" s="20">
        <f t="shared" si="61"/>
        <v>290.31966292134825</v>
      </c>
      <c r="CY11" s="22"/>
      <c r="CZ11" s="22">
        <f>BK11/CD11</f>
        <v>44.5</v>
      </c>
      <c r="DA11" s="22"/>
      <c r="DB11" s="22">
        <f t="shared" si="62"/>
        <v>3.595505617977528</v>
      </c>
      <c r="DC11" s="22"/>
      <c r="DD11" s="22"/>
      <c r="DE11" s="22"/>
      <c r="DF11" s="22"/>
      <c r="DG11" s="19">
        <f t="shared" si="31"/>
        <v>1.8541666666666667</v>
      </c>
      <c r="DH11" s="20">
        <f t="shared" si="32"/>
        <v>21.887090909090908</v>
      </c>
      <c r="DI11" s="19">
        <f>(BK11/0.46)/((O11/0.023)*(CD11/0.017))^0.5</f>
        <v>5.0235017383437253</v>
      </c>
      <c r="DJ11" s="22"/>
      <c r="DK11" s="22"/>
      <c r="DL11" s="22"/>
      <c r="DM11" s="22">
        <f t="shared" si="36"/>
        <v>55</v>
      </c>
      <c r="DN11" s="22"/>
      <c r="DO11" s="22">
        <f t="shared" si="38"/>
        <v>0</v>
      </c>
      <c r="DP11" s="20">
        <f t="shared" si="39"/>
        <v>320</v>
      </c>
      <c r="DQ11" s="22"/>
      <c r="DR11" s="22"/>
      <c r="DS11" s="19"/>
      <c r="DT11" s="23">
        <f t="shared" si="43"/>
        <v>1.5625000000000001E-3</v>
      </c>
      <c r="DU11" s="22">
        <f t="shared" si="44"/>
        <v>6.666666666666667</v>
      </c>
      <c r="DV11" s="22"/>
      <c r="DW11" s="22">
        <f t="shared" si="63"/>
        <v>0.42624398665623353</v>
      </c>
      <c r="DX11" s="22">
        <f t="shared" si="45"/>
        <v>27.8125</v>
      </c>
      <c r="DY11" s="22">
        <f t="shared" si="46"/>
        <v>0</v>
      </c>
      <c r="DZ11" s="19">
        <f t="shared" si="47"/>
        <v>1.5826542345765426</v>
      </c>
      <c r="EA11" s="23"/>
      <c r="EB11" s="19"/>
      <c r="EC11" s="19"/>
      <c r="ED11" s="19"/>
      <c r="EE11" s="19">
        <f t="shared" si="48"/>
        <v>41.555844415558447</v>
      </c>
      <c r="EF11" s="19">
        <f t="shared" si="49"/>
        <v>4.3095690430956903</v>
      </c>
      <c r="EG11" s="19">
        <f t="shared" si="50"/>
        <v>5.0394960503949608</v>
      </c>
      <c r="EH11" s="19">
        <f t="shared" si="51"/>
        <v>13.948605139486054</v>
      </c>
      <c r="EI11" s="19">
        <f t="shared" si="52"/>
        <v>0.20997900209979004</v>
      </c>
      <c r="EJ11" s="19">
        <f t="shared" si="53"/>
        <v>23.577642235776423</v>
      </c>
      <c r="EK11" s="19">
        <f t="shared" si="54"/>
        <v>10.128987101289873</v>
      </c>
      <c r="EL11" s="19">
        <f t="shared" si="55"/>
        <v>0.38996100389961008</v>
      </c>
      <c r="EM11" s="19">
        <f t="shared" si="56"/>
        <v>0.28997100289971001</v>
      </c>
      <c r="EN11" s="19">
        <f t="shared" si="57"/>
        <v>0.54994500549945013</v>
      </c>
      <c r="EO11" s="19">
        <f t="shared" si="58"/>
        <v>100</v>
      </c>
    </row>
    <row r="12" spans="1:176" s="18" customFormat="1" ht="14.5" customHeight="1">
      <c r="A12" s="1" t="s">
        <v>231</v>
      </c>
      <c r="B12" s="1">
        <v>4</v>
      </c>
      <c r="C12" s="1" t="s">
        <v>254</v>
      </c>
      <c r="D12" s="1" t="s">
        <v>253</v>
      </c>
      <c r="E12" s="12" t="s">
        <v>23</v>
      </c>
      <c r="F12" s="13"/>
      <c r="G12" s="14">
        <v>45.53</v>
      </c>
      <c r="H12" s="14">
        <v>2.99</v>
      </c>
      <c r="I12" s="14">
        <v>7.62</v>
      </c>
      <c r="J12" s="14">
        <v>12.64</v>
      </c>
      <c r="K12" s="14">
        <v>0.21</v>
      </c>
      <c r="L12" s="14">
        <v>14.11</v>
      </c>
      <c r="M12" s="14">
        <v>14.01</v>
      </c>
      <c r="N12" s="14">
        <v>1.96</v>
      </c>
      <c r="O12" s="14">
        <v>0.48</v>
      </c>
      <c r="P12" s="14">
        <v>0.46</v>
      </c>
      <c r="Q12" s="14">
        <v>2.16</v>
      </c>
      <c r="R12" s="15"/>
      <c r="S12" s="15">
        <f t="shared" si="0"/>
        <v>100.00999999999999</v>
      </c>
      <c r="T12" s="16"/>
      <c r="U12" s="17"/>
      <c r="V12" s="17"/>
      <c r="AF12" s="19">
        <f t="shared" si="1"/>
        <v>0.72234030205999666</v>
      </c>
      <c r="AG12" s="20">
        <f t="shared" si="2"/>
        <v>17925.050000000003</v>
      </c>
      <c r="AH12" s="20">
        <f t="shared" si="3"/>
        <v>3984.96</v>
      </c>
      <c r="AI12" s="20">
        <f t="shared" si="4"/>
        <v>2007.44</v>
      </c>
      <c r="AJ12" s="19">
        <f t="shared" si="5"/>
        <v>2.44</v>
      </c>
      <c r="AK12" s="19">
        <f t="shared" si="6"/>
        <v>0.24489795918367346</v>
      </c>
      <c r="AL12" s="19">
        <f t="shared" si="7"/>
        <v>4.083333333333333</v>
      </c>
      <c r="AM12" s="19">
        <f t="shared" si="8"/>
        <v>1.8385826771653544</v>
      </c>
      <c r="AN12" s="19">
        <f t="shared" si="9"/>
        <v>6.2992125984251968E-2</v>
      </c>
      <c r="AO12" s="19">
        <f t="shared" si="10"/>
        <v>0.49131668087613439</v>
      </c>
      <c r="AP12" s="19">
        <f t="shared" si="11"/>
        <v>2.0353471374445546</v>
      </c>
      <c r="AQ12" s="19">
        <f t="shared" si="12"/>
        <v>0.26081909847623835</v>
      </c>
      <c r="AR12" s="19">
        <f t="shared" si="13"/>
        <v>0.49131668087613439</v>
      </c>
      <c r="AS12" s="20">
        <f t="shared" si="14"/>
        <v>2393.9687266729588</v>
      </c>
      <c r="AT12" s="20">
        <f t="shared" si="15"/>
        <v>2273.6860604798098</v>
      </c>
      <c r="AU12" s="19">
        <f t="shared" si="16"/>
        <v>1.0542499450911486E-2</v>
      </c>
      <c r="AV12" s="19">
        <f t="shared" si="17"/>
        <v>6.8181286256415397E-2</v>
      </c>
      <c r="AX12" s="1">
        <v>36</v>
      </c>
      <c r="AY12" s="1">
        <v>741</v>
      </c>
      <c r="AZ12" s="1">
        <v>888</v>
      </c>
      <c r="BA12" s="1"/>
      <c r="BB12" s="1"/>
      <c r="BC12" s="1"/>
      <c r="BD12" s="1">
        <v>889</v>
      </c>
      <c r="BE12" s="1"/>
      <c r="BF12" s="1">
        <v>322</v>
      </c>
      <c r="BG12" s="1"/>
      <c r="BH12" s="1"/>
      <c r="BI12" s="1">
        <v>18</v>
      </c>
      <c r="BJ12" s="1">
        <v>256</v>
      </c>
      <c r="BK12" s="1">
        <v>84</v>
      </c>
      <c r="BL12" s="1"/>
      <c r="BM12" s="1"/>
      <c r="BN12" s="1">
        <v>54</v>
      </c>
      <c r="BO12" s="1">
        <v>130</v>
      </c>
      <c r="BP12" s="1"/>
      <c r="BQ12" s="1">
        <v>58</v>
      </c>
      <c r="BR12" s="1">
        <v>8.48</v>
      </c>
      <c r="BS12" s="1">
        <v>1.93</v>
      </c>
      <c r="BT12" s="1">
        <v>4.6500000000000004</v>
      </c>
      <c r="BU12" s="1"/>
      <c r="BV12" s="1">
        <v>3.07</v>
      </c>
      <c r="BW12" s="1">
        <v>0.47</v>
      </c>
      <c r="BX12" s="1">
        <v>1.1000000000000001</v>
      </c>
      <c r="BY12" s="1"/>
      <c r="BZ12" s="1">
        <v>0.65100000000000002</v>
      </c>
      <c r="CA12" s="1">
        <v>0.1</v>
      </c>
      <c r="CB12" s="1"/>
      <c r="CC12" s="1"/>
      <c r="CD12" s="1"/>
      <c r="CE12" s="21"/>
      <c r="CG12" s="22">
        <f t="shared" si="18"/>
        <v>223.14049586776861</v>
      </c>
      <c r="CH12" s="22">
        <f t="shared" ref="CH12:CH48" si="64">BO12/0.635</f>
        <v>204.7244094488189</v>
      </c>
      <c r="CI12" s="22"/>
      <c r="CJ12" s="22">
        <f t="shared" ref="CJ12:CJ17" si="65">BQ12/0.48</f>
        <v>120.83333333333334</v>
      </c>
      <c r="CK12" s="22">
        <f t="shared" ref="CK12:CK17" si="66">BR12/0.156</f>
        <v>54.358974358974365</v>
      </c>
      <c r="CL12" s="22">
        <v>42.059100000000001</v>
      </c>
      <c r="CM12" s="22">
        <f t="shared" ref="CM12:CM17" si="67">BT12/0.212</f>
        <v>21.933962264150946</v>
      </c>
      <c r="CN12" s="22"/>
      <c r="CO12" s="22">
        <f t="shared" ref="CO12:CO17" si="68">BV12/0.259</f>
        <v>11.853281853281853</v>
      </c>
      <c r="CP12" s="22">
        <f t="shared" ref="CP12:CP17" si="69">BW12/0.0585</f>
        <v>8.0341880341880341</v>
      </c>
      <c r="CQ12" s="22">
        <f t="shared" ref="CQ12:CQ17" si="70">BX12/0.163</f>
        <v>6.7484662576687118</v>
      </c>
      <c r="CR12" s="22"/>
      <c r="CS12" s="22">
        <f t="shared" si="26"/>
        <v>3.9216867469879517</v>
      </c>
      <c r="CT12" s="22">
        <f t="shared" ref="CT12:CT48" si="71">CA12/0.025</f>
        <v>4</v>
      </c>
      <c r="CU12" s="22">
        <f t="shared" si="59"/>
        <v>10.571428571428571</v>
      </c>
      <c r="CV12" s="22">
        <f t="shared" si="28"/>
        <v>16.444444444444443</v>
      </c>
      <c r="CW12" s="22">
        <f t="shared" si="60"/>
        <v>0.6428571428571429</v>
      </c>
      <c r="CX12" s="20">
        <f t="shared" si="61"/>
        <v>213.39345238095243</v>
      </c>
      <c r="CY12" s="22"/>
      <c r="CZ12" s="22"/>
      <c r="DA12" s="22">
        <f t="shared" ref="DA12:DA17" si="72">AX12/BR12</f>
        <v>4.2452830188679247</v>
      </c>
      <c r="DB12" s="22">
        <f t="shared" si="62"/>
        <v>3.0476190476190474</v>
      </c>
      <c r="DC12" s="22"/>
      <c r="DD12" s="22"/>
      <c r="DE12" s="22"/>
      <c r="DF12" s="22"/>
      <c r="DG12" s="19">
        <f t="shared" si="31"/>
        <v>4.666666666666667</v>
      </c>
      <c r="DH12" s="20">
        <f t="shared" si="32"/>
        <v>73.795555555555552</v>
      </c>
      <c r="DI12" s="19"/>
      <c r="DJ12" s="22">
        <f t="shared" ref="DJ12:DJ17" si="73">BN12/CA12</f>
        <v>540</v>
      </c>
      <c r="DK12" s="22">
        <f t="shared" ref="DK12:DK17" si="74">CG12/CT12</f>
        <v>55.785123966942152</v>
      </c>
      <c r="DL12" s="22">
        <f t="shared" ref="DL12:DL17" si="75">CG12/CK12</f>
        <v>4.1049430843598937</v>
      </c>
      <c r="DM12" s="22">
        <f t="shared" si="36"/>
        <v>82.94930875576037</v>
      </c>
      <c r="DN12" s="22">
        <f t="shared" ref="DN12:DN17" si="76">BL12/BQ12</f>
        <v>0</v>
      </c>
      <c r="DO12" s="22">
        <f t="shared" si="38"/>
        <v>13.026113671274961</v>
      </c>
      <c r="DP12" s="20">
        <f t="shared" si="39"/>
        <v>1138.2488479262672</v>
      </c>
      <c r="DQ12" s="22">
        <f t="shared" ref="DQ12:DQ17" si="77">AY12/BQ12</f>
        <v>12.775862068965518</v>
      </c>
      <c r="DR12" s="22">
        <f t="shared" ref="DR12:DR17" si="78">AY12/(((BR12/0.195)*(BT12/0.259))^0.5)</f>
        <v>26.519235079459492</v>
      </c>
      <c r="DS12" s="19">
        <f t="shared" ref="DS12:DS17" si="79">(BS12/0.074)/(((BR12/0.195)*(BT12/0.259))^0.5)</f>
        <v>0.93340124199140706</v>
      </c>
      <c r="DT12" s="23">
        <f t="shared" si="43"/>
        <v>1.3495276653171389E-3</v>
      </c>
      <c r="DU12" s="22">
        <f t="shared" si="44"/>
        <v>14.222222222222221</v>
      </c>
      <c r="DV12" s="22"/>
      <c r="DW12" s="22">
        <f t="shared" si="63"/>
        <v>0.19530925735817206</v>
      </c>
      <c r="DX12" s="22">
        <f t="shared" si="45"/>
        <v>32.8125</v>
      </c>
      <c r="DY12" s="22">
        <f t="shared" si="46"/>
        <v>0</v>
      </c>
      <c r="DZ12" s="19">
        <f t="shared" si="47"/>
        <v>1.8904992091883932</v>
      </c>
      <c r="EA12" s="23"/>
      <c r="EB12" s="19"/>
      <c r="EC12" s="19"/>
      <c r="ED12" s="19"/>
      <c r="EE12" s="19">
        <f t="shared" si="48"/>
        <v>45.525447455254479</v>
      </c>
      <c r="EF12" s="19">
        <f t="shared" si="49"/>
        <v>2.9897010298970104</v>
      </c>
      <c r="EG12" s="19">
        <f t="shared" si="50"/>
        <v>7.6192380761923815</v>
      </c>
      <c r="EH12" s="19">
        <f t="shared" si="51"/>
        <v>12.638736126387363</v>
      </c>
      <c r="EI12" s="19">
        <f t="shared" si="52"/>
        <v>0.20997900209979004</v>
      </c>
      <c r="EJ12" s="19">
        <f t="shared" si="53"/>
        <v>14.108589141085893</v>
      </c>
      <c r="EK12" s="19">
        <f t="shared" si="54"/>
        <v>14.008599140085993</v>
      </c>
      <c r="EL12" s="19">
        <f t="shared" si="55"/>
        <v>1.9598040195980404</v>
      </c>
      <c r="EM12" s="19">
        <f t="shared" si="56"/>
        <v>0.4799520047995201</v>
      </c>
      <c r="EN12" s="19">
        <f t="shared" si="57"/>
        <v>0.45995400459954011</v>
      </c>
      <c r="EO12" s="19">
        <f t="shared" si="58"/>
        <v>100</v>
      </c>
    </row>
    <row r="13" spans="1:176" s="18" customFormat="1" ht="14.5" customHeight="1">
      <c r="A13" s="1" t="s">
        <v>231</v>
      </c>
      <c r="B13" s="1">
        <v>4</v>
      </c>
      <c r="C13" s="1" t="s">
        <v>262</v>
      </c>
      <c r="D13" s="1" t="s">
        <v>260</v>
      </c>
      <c r="E13" s="12" t="s">
        <v>12</v>
      </c>
      <c r="F13" s="13"/>
      <c r="G13" s="14">
        <v>38.76</v>
      </c>
      <c r="H13" s="14">
        <v>4.68</v>
      </c>
      <c r="I13" s="14">
        <v>9.41</v>
      </c>
      <c r="J13" s="14">
        <v>16.09</v>
      </c>
      <c r="K13" s="14">
        <v>0.25</v>
      </c>
      <c r="L13" s="14">
        <v>10.43</v>
      </c>
      <c r="M13" s="14">
        <v>13.91</v>
      </c>
      <c r="N13" s="14">
        <v>2.5099999999999998</v>
      </c>
      <c r="O13" s="14">
        <v>3.04</v>
      </c>
      <c r="P13" s="14">
        <v>0.91</v>
      </c>
      <c r="Q13" s="14">
        <v>0.7</v>
      </c>
      <c r="R13" s="15"/>
      <c r="S13" s="15">
        <f t="shared" si="0"/>
        <v>99.990000000000009</v>
      </c>
      <c r="T13" s="16"/>
      <c r="U13" s="17"/>
      <c r="V13" s="17"/>
      <c r="AF13" s="19">
        <f t="shared" si="1"/>
        <v>0.60170420440226424</v>
      </c>
      <c r="AG13" s="20">
        <f t="shared" si="2"/>
        <v>28056.6</v>
      </c>
      <c r="AH13" s="20">
        <f t="shared" si="3"/>
        <v>25238.080000000002</v>
      </c>
      <c r="AI13" s="20">
        <f t="shared" si="4"/>
        <v>3971.2400000000002</v>
      </c>
      <c r="AJ13" s="19">
        <f t="shared" si="5"/>
        <v>5.55</v>
      </c>
      <c r="AK13" s="19">
        <f t="shared" si="6"/>
        <v>1.2111553784860558</v>
      </c>
      <c r="AL13" s="19">
        <f t="shared" si="7"/>
        <v>0.82565789473684204</v>
      </c>
      <c r="AM13" s="19">
        <f t="shared" si="8"/>
        <v>1.4782146652497343</v>
      </c>
      <c r="AN13" s="19">
        <f t="shared" si="9"/>
        <v>0.32306057385759829</v>
      </c>
      <c r="AO13" s="19">
        <f t="shared" si="10"/>
        <v>0.78846932155628513</v>
      </c>
      <c r="AP13" s="19">
        <f t="shared" si="11"/>
        <v>1.268280163426263</v>
      </c>
      <c r="AQ13" s="19">
        <f t="shared" si="12"/>
        <v>0.28768397584549693</v>
      </c>
      <c r="AR13" s="19">
        <f t="shared" si="13"/>
        <v>0.78846932155628513</v>
      </c>
      <c r="AS13" s="20">
        <f t="shared" si="14"/>
        <v>1461.5438743677241</v>
      </c>
      <c r="AT13" s="20">
        <f t="shared" si="15"/>
        <v>2098.3498939720544</v>
      </c>
      <c r="AU13" s="19">
        <f t="shared" si="16"/>
        <v>7.8431372549019607E-2</v>
      </c>
      <c r="AV13" s="19">
        <f t="shared" si="17"/>
        <v>0.34967363174650445</v>
      </c>
      <c r="AX13" s="1">
        <v>49</v>
      </c>
      <c r="AY13" s="1">
        <v>1605</v>
      </c>
      <c r="AZ13" s="1">
        <v>1308</v>
      </c>
      <c r="BA13" s="1"/>
      <c r="BB13" s="1">
        <v>37.5</v>
      </c>
      <c r="BC13" s="1">
        <v>415</v>
      </c>
      <c r="BD13" s="1">
        <v>86</v>
      </c>
      <c r="BE13" s="1"/>
      <c r="BF13" s="1">
        <v>93</v>
      </c>
      <c r="BG13" s="1"/>
      <c r="BH13" s="1"/>
      <c r="BI13" s="1">
        <v>27</v>
      </c>
      <c r="BJ13" s="1">
        <v>426</v>
      </c>
      <c r="BK13" s="1">
        <v>148</v>
      </c>
      <c r="BL13" s="1">
        <v>11.22</v>
      </c>
      <c r="BM13" s="1">
        <v>11.12</v>
      </c>
      <c r="BN13" s="1">
        <v>125</v>
      </c>
      <c r="BO13" s="1">
        <v>242</v>
      </c>
      <c r="BP13" s="1"/>
      <c r="BQ13" s="1">
        <v>106</v>
      </c>
      <c r="BR13" s="1">
        <v>15.82</v>
      </c>
      <c r="BS13" s="1">
        <v>4.29</v>
      </c>
      <c r="BT13" s="1">
        <v>10.47</v>
      </c>
      <c r="BU13" s="1"/>
      <c r="BV13" s="1">
        <v>6.23</v>
      </c>
      <c r="BW13" s="1">
        <v>0.98399999999999999</v>
      </c>
      <c r="BX13" s="1">
        <v>2.3879999999999999</v>
      </c>
      <c r="BY13" s="1"/>
      <c r="BZ13" s="1">
        <v>1.764</v>
      </c>
      <c r="CA13" s="1">
        <v>0.247</v>
      </c>
      <c r="CB13" s="1"/>
      <c r="CC13" s="1">
        <v>14.5</v>
      </c>
      <c r="CD13" s="1">
        <v>3.37</v>
      </c>
      <c r="CE13" s="21"/>
      <c r="CG13" s="22">
        <f t="shared" si="18"/>
        <v>516.52892561983469</v>
      </c>
      <c r="CH13" s="22">
        <f t="shared" si="64"/>
        <v>381.10236220472439</v>
      </c>
      <c r="CI13" s="22"/>
      <c r="CJ13" s="22">
        <f t="shared" si="65"/>
        <v>220.83333333333334</v>
      </c>
      <c r="CK13" s="22">
        <f t="shared" si="66"/>
        <v>101.41025641025641</v>
      </c>
      <c r="CL13" s="22">
        <v>43.059100000000001</v>
      </c>
      <c r="CM13" s="22">
        <f t="shared" si="67"/>
        <v>49.386792452830193</v>
      </c>
      <c r="CN13" s="22"/>
      <c r="CO13" s="22">
        <f t="shared" si="68"/>
        <v>24.054054054054056</v>
      </c>
      <c r="CP13" s="22">
        <f t="shared" si="69"/>
        <v>16.820512820512818</v>
      </c>
      <c r="CQ13" s="22">
        <f t="shared" si="70"/>
        <v>14.650306748466257</v>
      </c>
      <c r="CR13" s="22"/>
      <c r="CS13" s="22">
        <f t="shared" si="26"/>
        <v>10.626506024096384</v>
      </c>
      <c r="CT13" s="22">
        <f t="shared" si="71"/>
        <v>9.879999999999999</v>
      </c>
      <c r="CU13" s="22">
        <f t="shared" si="59"/>
        <v>8.8378378378378386</v>
      </c>
      <c r="CV13" s="22">
        <f t="shared" si="28"/>
        <v>10.464</v>
      </c>
      <c r="CW13" s="22">
        <f t="shared" si="60"/>
        <v>0.84459459459459463</v>
      </c>
      <c r="CX13" s="20">
        <f t="shared" si="61"/>
        <v>189.5716216216216</v>
      </c>
      <c r="CY13" s="22"/>
      <c r="CZ13" s="22">
        <f>BK13/CD13</f>
        <v>43.916913946587535</v>
      </c>
      <c r="DA13" s="22">
        <f t="shared" si="72"/>
        <v>3.0973451327433628</v>
      </c>
      <c r="DB13" s="22">
        <f t="shared" si="62"/>
        <v>2.8783783783783785</v>
      </c>
      <c r="DC13" s="22">
        <f>AZ13/CC13</f>
        <v>90.206896551724142</v>
      </c>
      <c r="DD13" s="22">
        <f>CC13/BM13</f>
        <v>1.3039568345323742</v>
      </c>
      <c r="DE13" s="22">
        <f>BM13/BZ13</f>
        <v>6.303854875283446</v>
      </c>
      <c r="DF13" s="22">
        <f>CC13/BZ13</f>
        <v>8.2199546485260768</v>
      </c>
      <c r="DG13" s="19">
        <f t="shared" si="31"/>
        <v>5.4814814814814818</v>
      </c>
      <c r="DH13" s="20">
        <f t="shared" si="32"/>
        <v>201.90464</v>
      </c>
      <c r="DI13" s="19">
        <f>(BK13/0.46)/((O13/0.023)*(CD13/0.017))^0.5</f>
        <v>1.9876527787084954</v>
      </c>
      <c r="DJ13" s="22">
        <f t="shared" si="73"/>
        <v>506.07287449392715</v>
      </c>
      <c r="DK13" s="22">
        <f t="shared" si="74"/>
        <v>52.280255629537933</v>
      </c>
      <c r="DL13" s="22">
        <f t="shared" si="75"/>
        <v>5.0934584321551339</v>
      </c>
      <c r="DM13" s="22">
        <f t="shared" si="36"/>
        <v>70.86167800453515</v>
      </c>
      <c r="DN13" s="22">
        <f t="shared" si="76"/>
        <v>0.1058490566037736</v>
      </c>
      <c r="DO13" s="22">
        <f t="shared" si="38"/>
        <v>8.9682539682539684</v>
      </c>
      <c r="DP13" s="20">
        <f t="shared" si="39"/>
        <v>909.86394557823132</v>
      </c>
      <c r="DQ13" s="22">
        <f t="shared" si="77"/>
        <v>15.141509433962264</v>
      </c>
      <c r="DR13" s="22">
        <f t="shared" si="78"/>
        <v>28.026292098432723</v>
      </c>
      <c r="DS13" s="19">
        <f t="shared" si="79"/>
        <v>1.0123161833988077</v>
      </c>
      <c r="DT13" s="23">
        <f t="shared" si="43"/>
        <v>6.2305295950155766E-4</v>
      </c>
      <c r="DU13" s="22">
        <f t="shared" si="44"/>
        <v>15.777777777777779</v>
      </c>
      <c r="DV13" s="22">
        <f>BK13/BM13</f>
        <v>13.309352517985612</v>
      </c>
      <c r="DW13" s="22">
        <f t="shared" si="63"/>
        <v>0.17864994814400514</v>
      </c>
      <c r="DX13" s="22">
        <f t="shared" si="45"/>
        <v>34.741784037558688</v>
      </c>
      <c r="DY13" s="22">
        <f t="shared" si="46"/>
        <v>3.403755868544601</v>
      </c>
      <c r="DZ13" s="19">
        <f t="shared" si="47"/>
        <v>0.86675334200086662</v>
      </c>
      <c r="EA13" s="23"/>
      <c r="EB13" s="19">
        <f>CC13/BK13</f>
        <v>9.7972972972972971E-2</v>
      </c>
      <c r="EC13" s="19"/>
      <c r="ED13" s="19"/>
      <c r="EE13" s="19">
        <f t="shared" si="48"/>
        <v>38.76387638763876</v>
      </c>
      <c r="EF13" s="19">
        <f t="shared" si="49"/>
        <v>4.6804680468046804</v>
      </c>
      <c r="EG13" s="19">
        <f t="shared" si="50"/>
        <v>9.4109410941094094</v>
      </c>
      <c r="EH13" s="19">
        <f t="shared" si="51"/>
        <v>16.091609160916089</v>
      </c>
      <c r="EI13" s="19">
        <f t="shared" si="52"/>
        <v>0.25002500250025</v>
      </c>
      <c r="EJ13" s="19">
        <f t="shared" si="53"/>
        <v>10.431043104310429</v>
      </c>
      <c r="EK13" s="19">
        <f t="shared" si="54"/>
        <v>13.91139113911391</v>
      </c>
      <c r="EL13" s="19">
        <f t="shared" si="55"/>
        <v>2.5102510251025096</v>
      </c>
      <c r="EM13" s="19">
        <f t="shared" si="56"/>
        <v>3.04030403040304</v>
      </c>
      <c r="EN13" s="19">
        <f t="shared" si="57"/>
        <v>0.91009100910091001</v>
      </c>
      <c r="EO13" s="19">
        <f t="shared" si="58"/>
        <v>99.999999999999986</v>
      </c>
    </row>
    <row r="14" spans="1:176" s="18" customFormat="1" ht="14.5" customHeight="1">
      <c r="A14" s="1" t="s">
        <v>231</v>
      </c>
      <c r="B14" s="1">
        <v>4</v>
      </c>
      <c r="C14" s="1" t="s">
        <v>262</v>
      </c>
      <c r="D14" s="1" t="s">
        <v>261</v>
      </c>
      <c r="E14" s="12" t="s">
        <v>12</v>
      </c>
      <c r="F14" s="13"/>
      <c r="G14" s="14">
        <v>38.17</v>
      </c>
      <c r="H14" s="14">
        <v>5.3</v>
      </c>
      <c r="I14" s="14">
        <v>9.26</v>
      </c>
      <c r="J14" s="14">
        <v>15.38</v>
      </c>
      <c r="K14" s="14">
        <v>0.21</v>
      </c>
      <c r="L14" s="14">
        <v>12.02</v>
      </c>
      <c r="M14" s="14">
        <v>13.63</v>
      </c>
      <c r="N14" s="14">
        <v>3.07</v>
      </c>
      <c r="O14" s="14">
        <v>2.02</v>
      </c>
      <c r="P14" s="14">
        <v>0.94</v>
      </c>
      <c r="Q14" s="14">
        <v>1.46</v>
      </c>
      <c r="R14" s="15"/>
      <c r="S14" s="15">
        <f t="shared" si="0"/>
        <v>99.999999999999972</v>
      </c>
      <c r="T14" s="16"/>
      <c r="U14" s="17"/>
      <c r="V14" s="17"/>
      <c r="AF14" s="19">
        <f t="shared" si="1"/>
        <v>0.64556174229147578</v>
      </c>
      <c r="AG14" s="20">
        <f t="shared" si="2"/>
        <v>31773.5</v>
      </c>
      <c r="AH14" s="20">
        <f t="shared" si="3"/>
        <v>16770.04</v>
      </c>
      <c r="AI14" s="20">
        <f t="shared" si="4"/>
        <v>4102.16</v>
      </c>
      <c r="AJ14" s="19">
        <f t="shared" si="5"/>
        <v>5.09</v>
      </c>
      <c r="AK14" s="19">
        <f t="shared" si="6"/>
        <v>0.6579804560260587</v>
      </c>
      <c r="AL14" s="19">
        <f t="shared" si="7"/>
        <v>1.5198019801980198</v>
      </c>
      <c r="AM14" s="19">
        <f t="shared" si="8"/>
        <v>1.4719222462203023</v>
      </c>
      <c r="AN14" s="19">
        <f t="shared" si="9"/>
        <v>0.21814254859611232</v>
      </c>
      <c r="AO14" s="19">
        <f t="shared" si="10"/>
        <v>0.78150076027411242</v>
      </c>
      <c r="AP14" s="19">
        <f t="shared" si="11"/>
        <v>1.2795892861949982</v>
      </c>
      <c r="AQ14" s="19">
        <f t="shared" si="12"/>
        <v>0.28921564742395262</v>
      </c>
      <c r="AR14" s="19">
        <f t="shared" si="13"/>
        <v>0.78150076027411242</v>
      </c>
      <c r="AS14" s="20">
        <f t="shared" si="14"/>
        <v>1435.2051427104695</v>
      </c>
      <c r="AT14" s="20">
        <f t="shared" si="15"/>
        <v>2145.619878411163</v>
      </c>
      <c r="AU14" s="19">
        <f t="shared" si="16"/>
        <v>5.2921142258318052E-2</v>
      </c>
      <c r="AV14" s="19">
        <f t="shared" si="17"/>
        <v>0.23611267786475171</v>
      </c>
      <c r="AX14" s="1"/>
      <c r="AY14" s="1">
        <v>1203</v>
      </c>
      <c r="AZ14" s="1">
        <v>1776</v>
      </c>
      <c r="BA14" s="1"/>
      <c r="BB14" s="1"/>
      <c r="BC14" s="1">
        <v>438</v>
      </c>
      <c r="BD14" s="1">
        <v>290</v>
      </c>
      <c r="BE14" s="1"/>
      <c r="BF14" s="1">
        <v>133</v>
      </c>
      <c r="BG14" s="1"/>
      <c r="BH14" s="1"/>
      <c r="BI14" s="1">
        <v>27</v>
      </c>
      <c r="BJ14" s="1">
        <v>531</v>
      </c>
      <c r="BK14" s="1">
        <v>165</v>
      </c>
      <c r="BL14" s="1"/>
      <c r="BM14" s="1"/>
      <c r="BN14" s="1">
        <v>117</v>
      </c>
      <c r="BO14" s="1">
        <v>227</v>
      </c>
      <c r="BP14" s="1"/>
      <c r="BQ14" s="1">
        <v>99</v>
      </c>
      <c r="BR14" s="1">
        <v>13.68</v>
      </c>
      <c r="BS14" s="1">
        <v>4.0199999999999996</v>
      </c>
      <c r="BT14" s="1">
        <v>9.92</v>
      </c>
      <c r="BU14" s="1"/>
      <c r="BV14" s="1">
        <v>5.48</v>
      </c>
      <c r="BW14" s="1">
        <v>1.036</v>
      </c>
      <c r="BX14" s="1">
        <v>1.9419999999999999</v>
      </c>
      <c r="BY14" s="1"/>
      <c r="BZ14" s="1">
        <v>1.5349999999999999</v>
      </c>
      <c r="CA14" s="1">
        <v>0.315</v>
      </c>
      <c r="CB14" s="1"/>
      <c r="CC14" s="1"/>
      <c r="CD14" s="1"/>
      <c r="CE14" s="21"/>
      <c r="CG14" s="22">
        <f t="shared" si="18"/>
        <v>483.47107438016531</v>
      </c>
      <c r="CH14" s="22">
        <f t="shared" si="64"/>
        <v>357.48031496062993</v>
      </c>
      <c r="CI14" s="22"/>
      <c r="CJ14" s="22">
        <f t="shared" si="65"/>
        <v>206.25</v>
      </c>
      <c r="CK14" s="22">
        <f t="shared" si="66"/>
        <v>87.692307692307693</v>
      </c>
      <c r="CL14" s="22">
        <v>44.059100000000001</v>
      </c>
      <c r="CM14" s="22">
        <f t="shared" si="67"/>
        <v>46.79245283018868</v>
      </c>
      <c r="CN14" s="22"/>
      <c r="CO14" s="22">
        <f t="shared" si="68"/>
        <v>21.15830115830116</v>
      </c>
      <c r="CP14" s="22">
        <f t="shared" si="69"/>
        <v>17.70940170940171</v>
      </c>
      <c r="CQ14" s="22">
        <f t="shared" si="70"/>
        <v>11.914110429447852</v>
      </c>
      <c r="CR14" s="22"/>
      <c r="CS14" s="22">
        <f t="shared" si="26"/>
        <v>9.2469879518072275</v>
      </c>
      <c r="CT14" s="22">
        <f t="shared" si="71"/>
        <v>12.6</v>
      </c>
      <c r="CU14" s="22">
        <f t="shared" si="59"/>
        <v>10.763636363636364</v>
      </c>
      <c r="CV14" s="22">
        <f t="shared" si="28"/>
        <v>15.179487179487179</v>
      </c>
      <c r="CW14" s="22">
        <f t="shared" si="60"/>
        <v>0.70909090909090911</v>
      </c>
      <c r="CX14" s="20">
        <f t="shared" si="61"/>
        <v>192.56666666666666</v>
      </c>
      <c r="CY14" s="22"/>
      <c r="CZ14" s="22"/>
      <c r="DA14" s="22">
        <f t="shared" si="72"/>
        <v>0</v>
      </c>
      <c r="DB14" s="22">
        <f t="shared" si="62"/>
        <v>3.2181818181818183</v>
      </c>
      <c r="DC14" s="22"/>
      <c r="DD14" s="22"/>
      <c r="DE14" s="22"/>
      <c r="DF14" s="22"/>
      <c r="DG14" s="19">
        <f t="shared" si="31"/>
        <v>6.1111111111111107</v>
      </c>
      <c r="DH14" s="20">
        <f t="shared" si="32"/>
        <v>143.33367521367524</v>
      </c>
      <c r="DI14" s="19"/>
      <c r="DJ14" s="22">
        <f t="shared" si="73"/>
        <v>371.42857142857144</v>
      </c>
      <c r="DK14" s="22">
        <f t="shared" si="74"/>
        <v>38.370720188902013</v>
      </c>
      <c r="DL14" s="22">
        <f t="shared" si="75"/>
        <v>5.5132666376685515</v>
      </c>
      <c r="DM14" s="22">
        <f t="shared" si="36"/>
        <v>76.221498371335514</v>
      </c>
      <c r="DN14" s="22">
        <f t="shared" si="76"/>
        <v>0</v>
      </c>
      <c r="DO14" s="22">
        <f t="shared" si="38"/>
        <v>8.9120521172638441</v>
      </c>
      <c r="DP14" s="20">
        <f t="shared" si="39"/>
        <v>783.71335504885997</v>
      </c>
      <c r="DQ14" s="22">
        <f t="shared" si="77"/>
        <v>12.151515151515152</v>
      </c>
      <c r="DR14" s="22">
        <f t="shared" si="78"/>
        <v>23.207797709730233</v>
      </c>
      <c r="DS14" s="19">
        <f t="shared" si="79"/>
        <v>1.0480032665309196</v>
      </c>
      <c r="DT14" s="23">
        <f t="shared" si="43"/>
        <v>8.3125519534497092E-4</v>
      </c>
      <c r="DU14" s="22">
        <f t="shared" si="44"/>
        <v>19.666666666666668</v>
      </c>
      <c r="DV14" s="22"/>
      <c r="DW14" s="22">
        <f t="shared" si="63"/>
        <v>4.215712676375416E-2</v>
      </c>
      <c r="DX14" s="22">
        <f t="shared" si="45"/>
        <v>31.073446327683616</v>
      </c>
      <c r="DY14" s="22">
        <f t="shared" si="46"/>
        <v>0</v>
      </c>
      <c r="DZ14" s="19">
        <f t="shared" si="47"/>
        <v>1.1330008312551958</v>
      </c>
      <c r="EA14" s="23"/>
      <c r="EB14" s="19">
        <f>CC14/BK14</f>
        <v>0</v>
      </c>
      <c r="EC14" s="19"/>
      <c r="ED14" s="19"/>
      <c r="EE14" s="19">
        <f t="shared" si="48"/>
        <v>38.170000000000009</v>
      </c>
      <c r="EF14" s="19">
        <f t="shared" si="49"/>
        <v>5.3000000000000016</v>
      </c>
      <c r="EG14" s="19">
        <f t="shared" si="50"/>
        <v>9.2600000000000033</v>
      </c>
      <c r="EH14" s="19">
        <f t="shared" si="51"/>
        <v>15.380000000000004</v>
      </c>
      <c r="EI14" s="19">
        <f t="shared" si="52"/>
        <v>0.21000000000000005</v>
      </c>
      <c r="EJ14" s="19">
        <f t="shared" si="53"/>
        <v>12.020000000000003</v>
      </c>
      <c r="EK14" s="19">
        <f t="shared" si="54"/>
        <v>13.630000000000004</v>
      </c>
      <c r="EL14" s="19">
        <f t="shared" si="55"/>
        <v>3.0700000000000007</v>
      </c>
      <c r="EM14" s="19">
        <f t="shared" si="56"/>
        <v>2.0200000000000005</v>
      </c>
      <c r="EN14" s="19">
        <f t="shared" si="57"/>
        <v>0.94000000000000028</v>
      </c>
      <c r="EO14" s="19">
        <f t="shared" si="58"/>
        <v>100.00000000000004</v>
      </c>
    </row>
    <row r="15" spans="1:176" s="18" customFormat="1" ht="14.5" customHeight="1">
      <c r="A15" s="1" t="s">
        <v>231</v>
      </c>
      <c r="B15" s="1">
        <v>4</v>
      </c>
      <c r="C15" s="1" t="s">
        <v>262</v>
      </c>
      <c r="D15" s="1" t="s">
        <v>261</v>
      </c>
      <c r="E15" s="12" t="s">
        <v>12</v>
      </c>
      <c r="F15" s="13"/>
      <c r="G15" s="14">
        <v>40.229999999999997</v>
      </c>
      <c r="H15" s="14">
        <v>4.5599999999999996</v>
      </c>
      <c r="I15" s="14">
        <v>8.9600000000000009</v>
      </c>
      <c r="J15" s="14">
        <v>15.94</v>
      </c>
      <c r="K15" s="14">
        <v>0.22</v>
      </c>
      <c r="L15" s="14">
        <v>10.5</v>
      </c>
      <c r="M15" s="14">
        <v>13.88</v>
      </c>
      <c r="N15" s="14">
        <v>2.82</v>
      </c>
      <c r="O15" s="14">
        <v>1.96</v>
      </c>
      <c r="P15" s="14">
        <v>0.92</v>
      </c>
      <c r="Q15" s="14">
        <v>1.52</v>
      </c>
      <c r="R15" s="15"/>
      <c r="S15" s="15">
        <f t="shared" si="0"/>
        <v>99.989999999999981</v>
      </c>
      <c r="T15" s="16"/>
      <c r="U15" s="17"/>
      <c r="V15" s="17"/>
      <c r="AF15" s="19">
        <f t="shared" si="1"/>
        <v>0.60554559658492302</v>
      </c>
      <c r="AG15" s="20">
        <f t="shared" si="2"/>
        <v>27337.199999999997</v>
      </c>
      <c r="AH15" s="20">
        <f t="shared" si="3"/>
        <v>16271.92</v>
      </c>
      <c r="AI15" s="20">
        <f t="shared" si="4"/>
        <v>4014.88</v>
      </c>
      <c r="AJ15" s="19">
        <f t="shared" si="5"/>
        <v>4.7799999999999994</v>
      </c>
      <c r="AK15" s="19">
        <f t="shared" si="6"/>
        <v>0.69503546099290781</v>
      </c>
      <c r="AL15" s="19">
        <f t="shared" si="7"/>
        <v>1.4387755102040816</v>
      </c>
      <c r="AM15" s="19">
        <f t="shared" si="8"/>
        <v>1.5491071428571426</v>
      </c>
      <c r="AN15" s="19">
        <f t="shared" si="9"/>
        <v>0.21874999999999997</v>
      </c>
      <c r="AO15" s="19">
        <f t="shared" si="10"/>
        <v>0.75451927094389815</v>
      </c>
      <c r="AP15" s="19">
        <f t="shared" si="11"/>
        <v>1.3253471959026404</v>
      </c>
      <c r="AQ15" s="19">
        <f t="shared" si="12"/>
        <v>0.28003538692499164</v>
      </c>
      <c r="AR15" s="19">
        <f t="shared" si="13"/>
        <v>0.75451927094389815</v>
      </c>
      <c r="AS15" s="20">
        <f t="shared" si="14"/>
        <v>1635.4111932436804</v>
      </c>
      <c r="AT15" s="20">
        <f t="shared" si="15"/>
        <v>2094.2002284985501</v>
      </c>
      <c r="AU15" s="19">
        <f t="shared" si="16"/>
        <v>4.8719860800397717E-2</v>
      </c>
      <c r="AV15" s="19">
        <f t="shared" si="17"/>
        <v>0.23677016985138</v>
      </c>
      <c r="AX15" s="1">
        <v>30</v>
      </c>
      <c r="AY15" s="1">
        <v>1141</v>
      </c>
      <c r="AZ15" s="1">
        <v>1233</v>
      </c>
      <c r="BA15" s="1"/>
      <c r="BB15" s="1"/>
      <c r="BC15" s="1">
        <v>331</v>
      </c>
      <c r="BD15" s="1">
        <v>124</v>
      </c>
      <c r="BE15" s="1"/>
      <c r="BF15" s="1">
        <v>86</v>
      </c>
      <c r="BG15" s="1"/>
      <c r="BH15" s="1"/>
      <c r="BI15" s="1">
        <v>28</v>
      </c>
      <c r="BJ15" s="1">
        <v>422</v>
      </c>
      <c r="BK15" s="1">
        <v>135</v>
      </c>
      <c r="BL15" s="1"/>
      <c r="BM15" s="1"/>
      <c r="BN15" s="1">
        <v>138</v>
      </c>
      <c r="BO15" s="1">
        <v>279</v>
      </c>
      <c r="BP15" s="1"/>
      <c r="BQ15" s="1">
        <v>122</v>
      </c>
      <c r="BR15" s="1">
        <v>16.95</v>
      </c>
      <c r="BS15" s="1">
        <v>4.9400000000000004</v>
      </c>
      <c r="BT15" s="1">
        <v>12.58</v>
      </c>
      <c r="BU15" s="1"/>
      <c r="BV15" s="1">
        <v>7.13</v>
      </c>
      <c r="BW15" s="1">
        <v>1.2589999999999999</v>
      </c>
      <c r="BX15" s="1">
        <v>2.2519999999999998</v>
      </c>
      <c r="BY15" s="1"/>
      <c r="BZ15" s="1">
        <v>1.82</v>
      </c>
      <c r="CA15" s="1">
        <v>0.27300000000000002</v>
      </c>
      <c r="CB15" s="1"/>
      <c r="CC15" s="1">
        <v>5</v>
      </c>
      <c r="CD15" s="1"/>
      <c r="CE15" s="21"/>
      <c r="CG15" s="22">
        <f t="shared" si="18"/>
        <v>570.24793388429748</v>
      </c>
      <c r="CH15" s="22">
        <f t="shared" si="64"/>
        <v>439.37007874015745</v>
      </c>
      <c r="CI15" s="22"/>
      <c r="CJ15" s="22">
        <f t="shared" si="65"/>
        <v>254.16666666666669</v>
      </c>
      <c r="CK15" s="22">
        <f t="shared" si="66"/>
        <v>108.65384615384615</v>
      </c>
      <c r="CL15" s="22">
        <v>45.059100000000001</v>
      </c>
      <c r="CM15" s="22">
        <f t="shared" si="67"/>
        <v>59.339622641509436</v>
      </c>
      <c r="CN15" s="22"/>
      <c r="CO15" s="22">
        <f t="shared" si="68"/>
        <v>27.528957528957527</v>
      </c>
      <c r="CP15" s="22">
        <f t="shared" si="69"/>
        <v>21.52136752136752</v>
      </c>
      <c r="CQ15" s="22">
        <f t="shared" si="70"/>
        <v>13.815950920245397</v>
      </c>
      <c r="CR15" s="22"/>
      <c r="CS15" s="22">
        <f t="shared" si="26"/>
        <v>10.963855421686747</v>
      </c>
      <c r="CT15" s="22">
        <f t="shared" si="71"/>
        <v>10.92</v>
      </c>
      <c r="CU15" s="22">
        <f t="shared" si="59"/>
        <v>9.1333333333333329</v>
      </c>
      <c r="CV15" s="22">
        <f t="shared" si="28"/>
        <v>8.9347826086956523</v>
      </c>
      <c r="CW15" s="22">
        <f t="shared" si="60"/>
        <v>1.0222222222222221</v>
      </c>
      <c r="CX15" s="20">
        <f t="shared" si="61"/>
        <v>202.49777777777777</v>
      </c>
      <c r="CY15" s="22"/>
      <c r="CZ15" s="22"/>
      <c r="DA15" s="22">
        <f t="shared" si="72"/>
        <v>1.7699115044247788</v>
      </c>
      <c r="DB15" s="22">
        <f t="shared" si="62"/>
        <v>3.1259259259259258</v>
      </c>
      <c r="DC15" s="22">
        <f>AZ15/CC15</f>
        <v>246.6</v>
      </c>
      <c r="DD15" s="22"/>
      <c r="DE15" s="22"/>
      <c r="DF15" s="22">
        <f>CC15/BZ15</f>
        <v>2.7472527472527473</v>
      </c>
      <c r="DG15" s="19">
        <f t="shared" si="31"/>
        <v>4.8214285714285712</v>
      </c>
      <c r="DH15" s="20">
        <f t="shared" si="32"/>
        <v>117.91246376811594</v>
      </c>
      <c r="DI15" s="19"/>
      <c r="DJ15" s="22">
        <f t="shared" si="73"/>
        <v>505.49450549450546</v>
      </c>
      <c r="DK15" s="22">
        <f t="shared" si="74"/>
        <v>52.220506765961311</v>
      </c>
      <c r="DL15" s="22">
        <f t="shared" si="75"/>
        <v>5.2482995684926497</v>
      </c>
      <c r="DM15" s="22">
        <f t="shared" si="36"/>
        <v>75.824175824175825</v>
      </c>
      <c r="DN15" s="22">
        <f t="shared" si="76"/>
        <v>0</v>
      </c>
      <c r="DO15" s="22">
        <f t="shared" si="38"/>
        <v>9.3131868131868121</v>
      </c>
      <c r="DP15" s="20">
        <f t="shared" si="39"/>
        <v>626.92307692307691</v>
      </c>
      <c r="DQ15" s="22">
        <f t="shared" si="77"/>
        <v>9.3524590163934427</v>
      </c>
      <c r="DR15" s="22">
        <f t="shared" si="78"/>
        <v>17.560127314943433</v>
      </c>
      <c r="DS15" s="19">
        <f t="shared" si="79"/>
        <v>1.0273945204043462</v>
      </c>
      <c r="DT15" s="23">
        <f t="shared" si="43"/>
        <v>8.7642418930762491E-4</v>
      </c>
      <c r="DU15" s="22">
        <f t="shared" si="44"/>
        <v>15.071428571428571</v>
      </c>
      <c r="DV15" s="22"/>
      <c r="DW15" s="22">
        <f t="shared" si="63"/>
        <v>0.16111925148343387</v>
      </c>
      <c r="DX15" s="22">
        <f t="shared" si="45"/>
        <v>31.990521327014218</v>
      </c>
      <c r="DY15" s="22">
        <f t="shared" si="46"/>
        <v>1.1848341232227488</v>
      </c>
      <c r="DZ15" s="19">
        <f t="shared" si="47"/>
        <v>1.2165984346024439</v>
      </c>
      <c r="EA15" s="23"/>
      <c r="EB15" s="19">
        <f>CC15/BK15</f>
        <v>3.7037037037037035E-2</v>
      </c>
      <c r="EC15" s="19"/>
      <c r="ED15" s="19"/>
      <c r="EE15" s="19">
        <f t="shared" si="48"/>
        <v>40.234023402340235</v>
      </c>
      <c r="EF15" s="19">
        <f t="shared" si="49"/>
        <v>4.5604560456045604</v>
      </c>
      <c r="EG15" s="19">
        <f t="shared" si="50"/>
        <v>8.9608960896089638</v>
      </c>
      <c r="EH15" s="19">
        <f t="shared" si="51"/>
        <v>15.941594159415944</v>
      </c>
      <c r="EI15" s="19">
        <f t="shared" si="52"/>
        <v>0.22002200220022006</v>
      </c>
      <c r="EJ15" s="19">
        <f t="shared" si="53"/>
        <v>10.501050105010503</v>
      </c>
      <c r="EK15" s="19">
        <f t="shared" si="54"/>
        <v>13.881388138813884</v>
      </c>
      <c r="EL15" s="19">
        <f t="shared" si="55"/>
        <v>2.8202820282028207</v>
      </c>
      <c r="EM15" s="19">
        <f t="shared" si="56"/>
        <v>1.9601960196019605</v>
      </c>
      <c r="EN15" s="19">
        <f t="shared" si="57"/>
        <v>0.92009200920092027</v>
      </c>
      <c r="EO15" s="19">
        <f t="shared" si="58"/>
        <v>100.00000000000003</v>
      </c>
    </row>
    <row r="16" spans="1:176" s="18" customFormat="1" ht="14.5" customHeight="1">
      <c r="A16" s="1" t="s">
        <v>231</v>
      </c>
      <c r="B16" s="1">
        <v>4</v>
      </c>
      <c r="C16" s="1" t="s">
        <v>262</v>
      </c>
      <c r="D16" s="1" t="s">
        <v>261</v>
      </c>
      <c r="E16" s="12" t="s">
        <v>12</v>
      </c>
      <c r="F16" s="13"/>
      <c r="G16" s="14">
        <v>37.11</v>
      </c>
      <c r="H16" s="14">
        <v>5.29</v>
      </c>
      <c r="I16" s="14">
        <v>9.07</v>
      </c>
      <c r="J16" s="14">
        <v>15.91</v>
      </c>
      <c r="K16" s="14">
        <v>0.2</v>
      </c>
      <c r="L16" s="14">
        <v>10.79</v>
      </c>
      <c r="M16" s="14">
        <v>14.05</v>
      </c>
      <c r="N16" s="14">
        <v>2.63</v>
      </c>
      <c r="O16" s="14">
        <v>3.97</v>
      </c>
      <c r="P16" s="14">
        <v>0.96</v>
      </c>
      <c r="Q16" s="14">
        <v>1.1000000000000001</v>
      </c>
      <c r="R16" s="15"/>
      <c r="S16" s="15">
        <f t="shared" si="0"/>
        <v>99.97999999999999</v>
      </c>
      <c r="T16" s="16"/>
      <c r="U16" s="17"/>
      <c r="V16" s="17"/>
      <c r="AF16" s="19">
        <f t="shared" si="1"/>
        <v>0.61248138514670436</v>
      </c>
      <c r="AG16" s="20">
        <f t="shared" si="2"/>
        <v>31713.55</v>
      </c>
      <c r="AH16" s="20">
        <f t="shared" si="3"/>
        <v>32958.94</v>
      </c>
      <c r="AI16" s="20">
        <f t="shared" si="4"/>
        <v>4189.4399999999996</v>
      </c>
      <c r="AJ16" s="19">
        <f t="shared" si="5"/>
        <v>6.6</v>
      </c>
      <c r="AK16" s="19">
        <f t="shared" si="6"/>
        <v>1.5095057034220534</v>
      </c>
      <c r="AL16" s="19">
        <f t="shared" si="7"/>
        <v>0.66246851385390426</v>
      </c>
      <c r="AM16" s="19">
        <f t="shared" si="8"/>
        <v>1.5490628445424475</v>
      </c>
      <c r="AN16" s="19">
        <f t="shared" si="9"/>
        <v>0.43770672546857775</v>
      </c>
      <c r="AO16" s="19">
        <f t="shared" si="10"/>
        <v>0.95077325198756546</v>
      </c>
      <c r="AP16" s="19">
        <f t="shared" si="11"/>
        <v>1.0517754868571738</v>
      </c>
      <c r="AQ16" s="19">
        <f t="shared" si="12"/>
        <v>0.26545261339476145</v>
      </c>
      <c r="AR16" s="19">
        <f t="shared" si="13"/>
        <v>0.95077325198756546</v>
      </c>
      <c r="AS16" s="20">
        <f t="shared" si="14"/>
        <v>1208.8695927655176</v>
      </c>
      <c r="AT16" s="20">
        <f t="shared" si="15"/>
        <v>2128.0756400348905</v>
      </c>
      <c r="AU16" s="19">
        <f t="shared" si="16"/>
        <v>0.10697925087577473</v>
      </c>
      <c r="AV16" s="19">
        <f t="shared" si="17"/>
        <v>0.47376409478530973</v>
      </c>
      <c r="AX16" s="1"/>
      <c r="AY16" s="1">
        <v>1116</v>
      </c>
      <c r="AZ16" s="1">
        <v>1419</v>
      </c>
      <c r="BA16" s="1"/>
      <c r="BB16" s="1"/>
      <c r="BC16" s="1">
        <v>412</v>
      </c>
      <c r="BD16" s="1">
        <v>128</v>
      </c>
      <c r="BE16" s="1"/>
      <c r="BF16" s="1">
        <v>98</v>
      </c>
      <c r="BG16" s="1"/>
      <c r="BH16" s="1"/>
      <c r="BI16" s="1">
        <v>24</v>
      </c>
      <c r="BJ16" s="1">
        <v>386</v>
      </c>
      <c r="BK16" s="1">
        <v>162</v>
      </c>
      <c r="BL16" s="1"/>
      <c r="BM16" s="1"/>
      <c r="BN16" s="1">
        <v>88</v>
      </c>
      <c r="BO16" s="1">
        <v>185</v>
      </c>
      <c r="BP16" s="1"/>
      <c r="BQ16" s="1">
        <v>79</v>
      </c>
      <c r="BR16" s="1">
        <v>10.42</v>
      </c>
      <c r="BS16" s="1">
        <v>3.23</v>
      </c>
      <c r="BT16" s="1">
        <v>8.14</v>
      </c>
      <c r="BU16" s="1"/>
      <c r="BV16" s="1">
        <v>4.38</v>
      </c>
      <c r="BW16" s="1">
        <v>0.74</v>
      </c>
      <c r="BX16" s="1">
        <v>1.6319999999999999</v>
      </c>
      <c r="BY16" s="1"/>
      <c r="BZ16" s="1">
        <v>1.325</v>
      </c>
      <c r="CA16" s="1">
        <v>0.27300000000000002</v>
      </c>
      <c r="CB16" s="1"/>
      <c r="CC16" s="1"/>
      <c r="CD16" s="1"/>
      <c r="CE16" s="21"/>
      <c r="CG16" s="22">
        <f t="shared" si="18"/>
        <v>363.63636363636363</v>
      </c>
      <c r="CH16" s="22">
        <f t="shared" si="64"/>
        <v>291.33858267716533</v>
      </c>
      <c r="CI16" s="22"/>
      <c r="CJ16" s="22">
        <f t="shared" si="65"/>
        <v>164.58333333333334</v>
      </c>
      <c r="CK16" s="22">
        <f t="shared" si="66"/>
        <v>66.794871794871796</v>
      </c>
      <c r="CL16" s="22">
        <v>46.059100000000001</v>
      </c>
      <c r="CM16" s="22">
        <f t="shared" si="67"/>
        <v>38.396226415094347</v>
      </c>
      <c r="CN16" s="22"/>
      <c r="CO16" s="22">
        <f t="shared" si="68"/>
        <v>16.91119691119691</v>
      </c>
      <c r="CP16" s="22">
        <f t="shared" si="69"/>
        <v>12.649572649572649</v>
      </c>
      <c r="CQ16" s="22">
        <f t="shared" si="70"/>
        <v>10.012269938650306</v>
      </c>
      <c r="CR16" s="22"/>
      <c r="CS16" s="22">
        <f t="shared" si="26"/>
        <v>7.9819277108433724</v>
      </c>
      <c r="CT16" s="22">
        <f t="shared" si="71"/>
        <v>10.92</v>
      </c>
      <c r="CU16" s="22">
        <f t="shared" si="59"/>
        <v>8.7592592592592595</v>
      </c>
      <c r="CV16" s="22">
        <f t="shared" si="28"/>
        <v>16.125</v>
      </c>
      <c r="CW16" s="22">
        <f t="shared" si="60"/>
        <v>0.54320987654320985</v>
      </c>
      <c r="CX16" s="20">
        <f t="shared" si="61"/>
        <v>195.76265432098765</v>
      </c>
      <c r="CY16" s="22"/>
      <c r="CZ16" s="22"/>
      <c r="DA16" s="22">
        <f t="shared" si="72"/>
        <v>0</v>
      </c>
      <c r="DB16" s="22">
        <f t="shared" si="62"/>
        <v>2.382716049382716</v>
      </c>
      <c r="DC16" s="22"/>
      <c r="DD16" s="22"/>
      <c r="DE16" s="22"/>
      <c r="DF16" s="22"/>
      <c r="DG16" s="19">
        <f t="shared" si="31"/>
        <v>6.75</v>
      </c>
      <c r="DH16" s="20">
        <f t="shared" si="32"/>
        <v>374.53340909090912</v>
      </c>
      <c r="DI16" s="19"/>
      <c r="DJ16" s="22">
        <f t="shared" si="73"/>
        <v>322.34432234432234</v>
      </c>
      <c r="DK16" s="22">
        <f t="shared" si="74"/>
        <v>33.300033300033299</v>
      </c>
      <c r="DL16" s="22">
        <f t="shared" si="75"/>
        <v>5.4440760774733903</v>
      </c>
      <c r="DM16" s="22">
        <f t="shared" si="36"/>
        <v>66.415094339622641</v>
      </c>
      <c r="DN16" s="22">
        <f t="shared" si="76"/>
        <v>0</v>
      </c>
      <c r="DO16" s="22">
        <f t="shared" si="38"/>
        <v>7.8641509433962264</v>
      </c>
      <c r="DP16" s="20">
        <f t="shared" si="39"/>
        <v>842.2641509433962</v>
      </c>
      <c r="DQ16" s="22">
        <f t="shared" si="77"/>
        <v>14.126582278481013</v>
      </c>
      <c r="DR16" s="22">
        <f t="shared" si="78"/>
        <v>27.232362556461396</v>
      </c>
      <c r="DS16" s="19">
        <f t="shared" si="79"/>
        <v>1.0651037859315402</v>
      </c>
      <c r="DT16" s="23">
        <f t="shared" si="43"/>
        <v>8.960573476702509E-4</v>
      </c>
      <c r="DU16" s="22">
        <f t="shared" si="44"/>
        <v>16.083333333333332</v>
      </c>
      <c r="DV16" s="22"/>
      <c r="DW16" s="22">
        <f t="shared" si="63"/>
        <v>0.25306173194753923</v>
      </c>
      <c r="DX16" s="22">
        <f t="shared" si="45"/>
        <v>41.968911917098445</v>
      </c>
      <c r="DY16" s="22">
        <f t="shared" si="46"/>
        <v>0</v>
      </c>
      <c r="DZ16" s="19">
        <f t="shared" si="47"/>
        <v>1.2592124159598945</v>
      </c>
      <c r="EA16" s="23"/>
      <c r="EB16" s="19"/>
      <c r="EC16" s="19"/>
      <c r="ED16" s="19"/>
      <c r="EE16" s="19">
        <f t="shared" si="48"/>
        <v>37.117423484696943</v>
      </c>
      <c r="EF16" s="19">
        <f t="shared" si="49"/>
        <v>5.291058211642329</v>
      </c>
      <c r="EG16" s="19">
        <f t="shared" si="50"/>
        <v>9.0718143628725763</v>
      </c>
      <c r="EH16" s="19">
        <f t="shared" si="51"/>
        <v>15.913182636527306</v>
      </c>
      <c r="EI16" s="19">
        <f t="shared" si="52"/>
        <v>0.20004000800160035</v>
      </c>
      <c r="EJ16" s="19">
        <f t="shared" si="53"/>
        <v>10.792158431686339</v>
      </c>
      <c r="EK16" s="19">
        <f t="shared" si="54"/>
        <v>14.052810562112423</v>
      </c>
      <c r="EL16" s="19">
        <f t="shared" si="55"/>
        <v>2.6305261052210445</v>
      </c>
      <c r="EM16" s="19">
        <f t="shared" si="56"/>
        <v>3.9707941588317666</v>
      </c>
      <c r="EN16" s="19">
        <f t="shared" si="57"/>
        <v>0.96019203840768164</v>
      </c>
      <c r="EO16" s="19">
        <f t="shared" si="58"/>
        <v>100.00000000000003</v>
      </c>
    </row>
    <row r="17" spans="1:145" s="18" customFormat="1" ht="14.5" customHeight="1">
      <c r="A17" s="1" t="s">
        <v>231</v>
      </c>
      <c r="B17" s="1">
        <v>4</v>
      </c>
      <c r="C17" s="1" t="s">
        <v>258</v>
      </c>
      <c r="D17" s="1" t="s">
        <v>260</v>
      </c>
      <c r="E17" s="12" t="s">
        <v>22</v>
      </c>
      <c r="F17" s="13"/>
      <c r="G17" s="14">
        <v>44.07</v>
      </c>
      <c r="H17" s="14">
        <v>4.4000000000000004</v>
      </c>
      <c r="I17" s="14">
        <v>13.5</v>
      </c>
      <c r="J17" s="14">
        <v>12.66</v>
      </c>
      <c r="K17" s="14">
        <v>0.2</v>
      </c>
      <c r="L17" s="14">
        <v>5.33</v>
      </c>
      <c r="M17" s="14">
        <v>12.03</v>
      </c>
      <c r="N17" s="14">
        <v>1.65</v>
      </c>
      <c r="O17" s="14">
        <v>5.14</v>
      </c>
      <c r="P17" s="14">
        <v>1.01</v>
      </c>
      <c r="Q17" s="14">
        <v>2.63</v>
      </c>
      <c r="R17" s="15"/>
      <c r="S17" s="15">
        <f t="shared" si="0"/>
        <v>99.990000000000009</v>
      </c>
      <c r="T17" s="16"/>
      <c r="U17" s="17"/>
      <c r="V17" s="17"/>
      <c r="AF17" s="19">
        <f t="shared" si="1"/>
        <v>0.49524678042699194</v>
      </c>
      <c r="AG17" s="20">
        <f t="shared" si="2"/>
        <v>26378.000000000004</v>
      </c>
      <c r="AH17" s="20">
        <f t="shared" si="3"/>
        <v>42672.28</v>
      </c>
      <c r="AI17" s="20">
        <f t="shared" si="4"/>
        <v>4407.6400000000003</v>
      </c>
      <c r="AJ17" s="19">
        <f t="shared" si="5"/>
        <v>6.7899999999999991</v>
      </c>
      <c r="AK17" s="19">
        <f t="shared" si="6"/>
        <v>3.1151515151515152</v>
      </c>
      <c r="AL17" s="19">
        <f t="shared" si="7"/>
        <v>0.321011673151751</v>
      </c>
      <c r="AM17" s="19">
        <f t="shared" si="8"/>
        <v>0.89111111111111119</v>
      </c>
      <c r="AN17" s="19">
        <f t="shared" si="9"/>
        <v>0.38074074074074071</v>
      </c>
      <c r="AO17" s="19">
        <f t="shared" si="10"/>
        <v>0.6131666450097174</v>
      </c>
      <c r="AP17" s="19">
        <f t="shared" si="11"/>
        <v>1.6308780135686476</v>
      </c>
      <c r="AQ17" s="19">
        <f t="shared" si="12"/>
        <v>0.44776569506431696</v>
      </c>
      <c r="AR17" s="19">
        <f t="shared" si="13"/>
        <v>0.6131666450097174</v>
      </c>
      <c r="AS17" s="20">
        <f t="shared" si="14"/>
        <v>1772.4801722513282</v>
      </c>
      <c r="AT17" s="20">
        <f t="shared" si="15"/>
        <v>1684.1792832253684</v>
      </c>
      <c r="AU17" s="19">
        <f t="shared" si="16"/>
        <v>0.11663262990696618</v>
      </c>
      <c r="AV17" s="19">
        <f t="shared" si="17"/>
        <v>0.41210537076354475</v>
      </c>
      <c r="AX17" s="1">
        <v>106</v>
      </c>
      <c r="AY17" s="1">
        <v>1654</v>
      </c>
      <c r="AZ17" s="1">
        <v>1962</v>
      </c>
      <c r="BA17" s="1"/>
      <c r="BB17" s="1">
        <v>25.8</v>
      </c>
      <c r="BC17" s="1">
        <v>364</v>
      </c>
      <c r="BD17" s="1">
        <v>60</v>
      </c>
      <c r="BE17" s="1"/>
      <c r="BF17" s="1">
        <v>58</v>
      </c>
      <c r="BG17" s="1"/>
      <c r="BH17" s="1"/>
      <c r="BI17" s="1">
        <v>36</v>
      </c>
      <c r="BJ17" s="1">
        <v>445</v>
      </c>
      <c r="BK17" s="1">
        <v>118</v>
      </c>
      <c r="BL17" s="1">
        <v>10.35</v>
      </c>
      <c r="BM17" s="1">
        <v>10.51</v>
      </c>
      <c r="BN17" s="1">
        <v>120</v>
      </c>
      <c r="BO17" s="1">
        <v>239</v>
      </c>
      <c r="BP17" s="1"/>
      <c r="BQ17" s="1">
        <v>111</v>
      </c>
      <c r="BR17" s="1">
        <v>17.579999999999998</v>
      </c>
      <c r="BS17" s="1">
        <v>5.07</v>
      </c>
      <c r="BT17" s="1">
        <v>12.76</v>
      </c>
      <c r="BU17" s="1"/>
      <c r="BV17" s="1">
        <v>8.01</v>
      </c>
      <c r="BW17" s="1">
        <v>1.3180000000000001</v>
      </c>
      <c r="BX17" s="1">
        <v>3.113</v>
      </c>
      <c r="BY17" s="1"/>
      <c r="BZ17" s="1">
        <v>2.3140000000000001</v>
      </c>
      <c r="CA17" s="1">
        <v>0.313</v>
      </c>
      <c r="CB17" s="1"/>
      <c r="CC17" s="1">
        <v>13.5</v>
      </c>
      <c r="CD17" s="1">
        <v>3.1</v>
      </c>
      <c r="CE17" s="21"/>
      <c r="CG17" s="22">
        <f t="shared" si="18"/>
        <v>495.86776859504135</v>
      </c>
      <c r="CH17" s="22">
        <f t="shared" si="64"/>
        <v>376.37795275590548</v>
      </c>
      <c r="CI17" s="22"/>
      <c r="CJ17" s="22">
        <f t="shared" si="65"/>
        <v>231.25</v>
      </c>
      <c r="CK17" s="22">
        <f t="shared" si="66"/>
        <v>112.69230769230768</v>
      </c>
      <c r="CL17" s="22">
        <v>47.059100000000001</v>
      </c>
      <c r="CM17" s="22">
        <f t="shared" si="67"/>
        <v>60.188679245283019</v>
      </c>
      <c r="CN17" s="22"/>
      <c r="CO17" s="22">
        <f t="shared" si="68"/>
        <v>30.926640926640925</v>
      </c>
      <c r="CP17" s="22">
        <f t="shared" si="69"/>
        <v>22.529914529914528</v>
      </c>
      <c r="CQ17" s="22">
        <f t="shared" si="70"/>
        <v>19.098159509202453</v>
      </c>
      <c r="CR17" s="22"/>
      <c r="CS17" s="22">
        <f t="shared" si="26"/>
        <v>13.939759036144578</v>
      </c>
      <c r="CT17" s="22">
        <f t="shared" si="71"/>
        <v>12.52</v>
      </c>
      <c r="CU17" s="22">
        <f t="shared" si="59"/>
        <v>16.627118644067796</v>
      </c>
      <c r="CV17" s="22">
        <f t="shared" si="28"/>
        <v>16.350000000000001</v>
      </c>
      <c r="CW17" s="22">
        <f t="shared" si="60"/>
        <v>1.0169491525423728</v>
      </c>
      <c r="CX17" s="20">
        <f t="shared" si="61"/>
        <v>223.54237288135596</v>
      </c>
      <c r="CY17" s="22"/>
      <c r="CZ17" s="22">
        <f>BK17/CD17</f>
        <v>38.064516129032256</v>
      </c>
      <c r="DA17" s="22">
        <f t="shared" si="72"/>
        <v>6.0295790671217295</v>
      </c>
      <c r="DB17" s="22">
        <f t="shared" si="62"/>
        <v>3.7711864406779663</v>
      </c>
      <c r="DC17" s="22">
        <f>AZ17/CC17</f>
        <v>145.33333333333334</v>
      </c>
      <c r="DD17" s="22">
        <f>CC17/BM17</f>
        <v>1.2844909609895339</v>
      </c>
      <c r="DE17" s="22">
        <f>BM17/BZ17</f>
        <v>4.5419187554019009</v>
      </c>
      <c r="DF17" s="22">
        <f>CC17/BZ17</f>
        <v>5.8340535868625754</v>
      </c>
      <c r="DG17" s="19">
        <f t="shared" si="31"/>
        <v>3.2777777777777777</v>
      </c>
      <c r="DH17" s="20">
        <f t="shared" si="32"/>
        <v>355.60233333333332</v>
      </c>
      <c r="DI17" s="19">
        <f>(BK17/0.46)/((O17/0.023)*(CD17/0.017))^0.5</f>
        <v>1.2707208266485743</v>
      </c>
      <c r="DJ17" s="22">
        <f t="shared" si="73"/>
        <v>383.38658146964855</v>
      </c>
      <c r="DK17" s="22">
        <f t="shared" si="74"/>
        <v>39.606051804715761</v>
      </c>
      <c r="DL17" s="22">
        <f t="shared" si="75"/>
        <v>4.400191803232449</v>
      </c>
      <c r="DM17" s="22">
        <f t="shared" si="36"/>
        <v>51.858254105445113</v>
      </c>
      <c r="DN17" s="22">
        <f t="shared" si="76"/>
        <v>9.3243243243243235E-2</v>
      </c>
      <c r="DO17" s="22">
        <f t="shared" si="38"/>
        <v>7.5972342264477088</v>
      </c>
      <c r="DP17" s="20">
        <f t="shared" si="39"/>
        <v>714.77960242005179</v>
      </c>
      <c r="DQ17" s="22">
        <f t="shared" si="77"/>
        <v>14.900900900900901</v>
      </c>
      <c r="DR17" s="22">
        <f t="shared" si="78"/>
        <v>24.818065154628957</v>
      </c>
      <c r="DS17" s="19">
        <f t="shared" si="79"/>
        <v>1.0280367849763783</v>
      </c>
      <c r="DT17" s="23">
        <f t="shared" si="43"/>
        <v>6.0459492140266019E-4</v>
      </c>
      <c r="DU17" s="22">
        <f t="shared" si="44"/>
        <v>12.361111111111111</v>
      </c>
      <c r="DV17" s="22">
        <f>BK17/BM17</f>
        <v>11.227402473834443</v>
      </c>
      <c r="DW17" s="22">
        <f t="shared" si="63"/>
        <v>0.15882908692864106</v>
      </c>
      <c r="DX17" s="22">
        <f t="shared" si="45"/>
        <v>26.516853932584269</v>
      </c>
      <c r="DY17" s="22">
        <f t="shared" si="46"/>
        <v>3.0337078651685392</v>
      </c>
      <c r="DZ17" s="19">
        <f t="shared" si="47"/>
        <v>0.72740043049044922</v>
      </c>
      <c r="EA17" s="23"/>
      <c r="EB17" s="19">
        <f>CC17/BK17</f>
        <v>0.11440677966101695</v>
      </c>
      <c r="EC17" s="19"/>
      <c r="ED17" s="19"/>
      <c r="EE17" s="19">
        <f t="shared" si="48"/>
        <v>44.074407440744068</v>
      </c>
      <c r="EF17" s="19">
        <f t="shared" si="49"/>
        <v>4.4004400440044007</v>
      </c>
      <c r="EG17" s="19">
        <f t="shared" si="50"/>
        <v>13.501350135013499</v>
      </c>
      <c r="EH17" s="19">
        <f t="shared" si="51"/>
        <v>12.661266126612659</v>
      </c>
      <c r="EI17" s="19">
        <f t="shared" si="52"/>
        <v>0.20002000200020001</v>
      </c>
      <c r="EJ17" s="19">
        <f t="shared" si="53"/>
        <v>5.3305330533053299</v>
      </c>
      <c r="EK17" s="19">
        <f t="shared" si="54"/>
        <v>12.03120312031203</v>
      </c>
      <c r="EL17" s="19">
        <f t="shared" si="55"/>
        <v>1.6501650165016499</v>
      </c>
      <c r="EM17" s="19">
        <f t="shared" si="56"/>
        <v>5.1405140514051402</v>
      </c>
      <c r="EN17" s="19">
        <f t="shared" si="57"/>
        <v>1.0101010101010099</v>
      </c>
      <c r="EO17" s="19">
        <f t="shared" si="58"/>
        <v>99.999999999999972</v>
      </c>
    </row>
    <row r="18" spans="1:145" s="18" customFormat="1" ht="14.5" customHeight="1">
      <c r="A18" s="1" t="s">
        <v>231</v>
      </c>
      <c r="B18" s="1">
        <v>4</v>
      </c>
      <c r="C18" s="1" t="s">
        <v>258</v>
      </c>
      <c r="D18" s="1" t="s">
        <v>259</v>
      </c>
      <c r="E18" s="12" t="s">
        <v>22</v>
      </c>
      <c r="F18" s="13"/>
      <c r="G18" s="14">
        <v>40.98</v>
      </c>
      <c r="H18" s="14">
        <v>3.47</v>
      </c>
      <c r="I18" s="14">
        <v>8.69</v>
      </c>
      <c r="J18" s="14">
        <v>13.62</v>
      </c>
      <c r="K18" s="14">
        <v>0.21</v>
      </c>
      <c r="L18" s="14">
        <v>11.96</v>
      </c>
      <c r="M18" s="14">
        <v>15.02</v>
      </c>
      <c r="N18" s="14">
        <v>2.04</v>
      </c>
      <c r="O18" s="14">
        <v>3.27</v>
      </c>
      <c r="P18" s="14">
        <v>0.73</v>
      </c>
      <c r="Q18" s="14">
        <v>2.4500000000000002</v>
      </c>
      <c r="R18" s="15"/>
      <c r="S18" s="15">
        <f t="shared" si="0"/>
        <v>99.989999999999981</v>
      </c>
      <c r="T18" s="16"/>
      <c r="U18" s="17"/>
      <c r="V18" s="17"/>
      <c r="AF18" s="19">
        <f t="shared" si="1"/>
        <v>0.67175009723191492</v>
      </c>
      <c r="AG18" s="20">
        <f t="shared" si="2"/>
        <v>20802.650000000001</v>
      </c>
      <c r="AH18" s="20">
        <f t="shared" si="3"/>
        <v>27147.54</v>
      </c>
      <c r="AI18" s="20">
        <f t="shared" si="4"/>
        <v>3185.72</v>
      </c>
      <c r="AJ18" s="19">
        <f t="shared" si="5"/>
        <v>5.3100000000000005</v>
      </c>
      <c r="AK18" s="19">
        <f t="shared" si="6"/>
        <v>1.6029411764705883</v>
      </c>
      <c r="AL18" s="19">
        <f t="shared" si="7"/>
        <v>0.62385321100917435</v>
      </c>
      <c r="AM18" s="19">
        <f t="shared" si="8"/>
        <v>1.7284234752589183</v>
      </c>
      <c r="AN18" s="19">
        <f t="shared" si="9"/>
        <v>0.37629459148446492</v>
      </c>
      <c r="AO18" s="19">
        <f t="shared" si="10"/>
        <v>0.79347195009477012</v>
      </c>
      <c r="AP18" s="19">
        <f t="shared" si="11"/>
        <v>1.2602839960260255</v>
      </c>
      <c r="AQ18" s="19">
        <f t="shared" si="12"/>
        <v>0.25406839648687435</v>
      </c>
      <c r="AR18" s="19">
        <f t="shared" si="13"/>
        <v>0.79347195009477012</v>
      </c>
      <c r="AS18" s="20">
        <f t="shared" si="14"/>
        <v>1727.1637935337149</v>
      </c>
      <c r="AT18" s="20">
        <f t="shared" si="15"/>
        <v>2285.9965027777857</v>
      </c>
      <c r="AU18" s="19">
        <f t="shared" si="16"/>
        <v>7.9795021961932652E-2</v>
      </c>
      <c r="AV18" s="19">
        <f t="shared" si="17"/>
        <v>0.40729295698254819</v>
      </c>
      <c r="AX18" s="1">
        <v>63</v>
      </c>
      <c r="AY18" s="1">
        <v>940</v>
      </c>
      <c r="AZ18" s="1">
        <v>1600</v>
      </c>
      <c r="BA18" s="1"/>
      <c r="BB18" s="1"/>
      <c r="BC18" s="1">
        <v>380</v>
      </c>
      <c r="BD18" s="1">
        <v>900</v>
      </c>
      <c r="BE18" s="1"/>
      <c r="BF18" s="1">
        <v>280</v>
      </c>
      <c r="BG18" s="1"/>
      <c r="BH18" s="1"/>
      <c r="BI18" s="1">
        <v>56</v>
      </c>
      <c r="BJ18" s="1">
        <v>480</v>
      </c>
      <c r="BK18" s="1">
        <v>150</v>
      </c>
      <c r="BL18" s="1"/>
      <c r="BM18" s="1"/>
      <c r="BN18" s="1">
        <v>160</v>
      </c>
      <c r="BO18" s="1">
        <v>300</v>
      </c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>
        <v>3</v>
      </c>
      <c r="CA18" s="1"/>
      <c r="CB18" s="1"/>
      <c r="CC18" s="1"/>
      <c r="CD18" s="1">
        <v>0.9</v>
      </c>
      <c r="CE18" s="21"/>
      <c r="CG18" s="22">
        <f t="shared" si="18"/>
        <v>661.15702479338847</v>
      </c>
      <c r="CH18" s="22">
        <f t="shared" si="64"/>
        <v>472.44094488188978</v>
      </c>
      <c r="CI18" s="22"/>
      <c r="CJ18" s="22"/>
      <c r="CK18" s="22"/>
      <c r="CL18" s="22">
        <v>48.059100000000001</v>
      </c>
      <c r="CM18" s="22"/>
      <c r="CN18" s="22"/>
      <c r="CO18" s="22"/>
      <c r="CP18" s="22"/>
      <c r="CQ18" s="22"/>
      <c r="CR18" s="22"/>
      <c r="CS18" s="22">
        <f t="shared" si="26"/>
        <v>18.072289156626503</v>
      </c>
      <c r="CT18" s="22">
        <f t="shared" si="71"/>
        <v>0</v>
      </c>
      <c r="CU18" s="22">
        <f t="shared" si="59"/>
        <v>10.666666666666666</v>
      </c>
      <c r="CV18" s="22">
        <f t="shared" si="28"/>
        <v>10</v>
      </c>
      <c r="CW18" s="22">
        <f t="shared" si="60"/>
        <v>1.0666666666666667</v>
      </c>
      <c r="CX18" s="20">
        <f t="shared" si="61"/>
        <v>138.68433333333334</v>
      </c>
      <c r="CY18" s="22"/>
      <c r="CZ18" s="22">
        <f>BK18/CD18</f>
        <v>166.66666666666666</v>
      </c>
      <c r="DA18" s="22"/>
      <c r="DB18" s="22">
        <f t="shared" si="62"/>
        <v>3.2</v>
      </c>
      <c r="DC18" s="22"/>
      <c r="DD18" s="22"/>
      <c r="DE18" s="22"/>
      <c r="DF18" s="22"/>
      <c r="DG18" s="19">
        <f t="shared" si="31"/>
        <v>2.6785714285714284</v>
      </c>
      <c r="DH18" s="20">
        <f t="shared" si="32"/>
        <v>169.67212499999999</v>
      </c>
      <c r="DI18" s="19">
        <f>(BK18/0.46)/((O18/0.023)*(CD18/0.017))^0.5</f>
        <v>3.7586048949774344</v>
      </c>
      <c r="DJ18" s="22"/>
      <c r="DK18" s="22"/>
      <c r="DL18" s="22"/>
      <c r="DM18" s="22">
        <f t="shared" si="36"/>
        <v>53.333333333333336</v>
      </c>
      <c r="DN18" s="22"/>
      <c r="DO18" s="22">
        <f t="shared" si="38"/>
        <v>0</v>
      </c>
      <c r="DP18" s="20">
        <f t="shared" si="39"/>
        <v>313.33333333333331</v>
      </c>
      <c r="DQ18" s="22"/>
      <c r="DR18" s="22"/>
      <c r="DS18" s="19"/>
      <c r="DT18" s="23">
        <f t="shared" si="43"/>
        <v>1.0638297872340426E-3</v>
      </c>
      <c r="DU18" s="22">
        <f t="shared" si="44"/>
        <v>8.5714285714285712</v>
      </c>
      <c r="DV18" s="22"/>
      <c r="DW18" s="22">
        <f t="shared" si="63"/>
        <v>0.37644106814025835</v>
      </c>
      <c r="DX18" s="22">
        <f t="shared" si="45"/>
        <v>31.25</v>
      </c>
      <c r="DY18" s="22">
        <f t="shared" si="46"/>
        <v>0</v>
      </c>
      <c r="DZ18" s="19">
        <f t="shared" si="47"/>
        <v>1.5980321436398961</v>
      </c>
      <c r="EA18" s="23"/>
      <c r="EB18" s="19"/>
      <c r="EC18" s="19"/>
      <c r="ED18" s="19"/>
      <c r="EE18" s="19">
        <f t="shared" si="48"/>
        <v>40.984098409840989</v>
      </c>
      <c r="EF18" s="19">
        <f t="shared" si="49"/>
        <v>3.4703470347034711</v>
      </c>
      <c r="EG18" s="19">
        <f t="shared" si="50"/>
        <v>8.6908690869086929</v>
      </c>
      <c r="EH18" s="19">
        <f t="shared" si="51"/>
        <v>13.621362136213625</v>
      </c>
      <c r="EI18" s="19">
        <f t="shared" si="52"/>
        <v>0.21002100210021007</v>
      </c>
      <c r="EJ18" s="19">
        <f t="shared" si="53"/>
        <v>11.961196119611964</v>
      </c>
      <c r="EK18" s="19">
        <f t="shared" si="54"/>
        <v>15.021502150215024</v>
      </c>
      <c r="EL18" s="19">
        <f t="shared" si="55"/>
        <v>2.0402040204020406</v>
      </c>
      <c r="EM18" s="19">
        <f t="shared" si="56"/>
        <v>3.2703270327032707</v>
      </c>
      <c r="EN18" s="19">
        <f t="shared" si="57"/>
        <v>0.73007300730073021</v>
      </c>
      <c r="EO18" s="19">
        <f t="shared" si="58"/>
        <v>100.00000000000001</v>
      </c>
    </row>
    <row r="19" spans="1:145" s="18" customFormat="1" ht="16">
      <c r="A19" s="1" t="s">
        <v>231</v>
      </c>
      <c r="B19" s="1">
        <v>4</v>
      </c>
      <c r="C19" s="1" t="s">
        <v>258</v>
      </c>
      <c r="D19" s="1" t="s">
        <v>257</v>
      </c>
      <c r="E19" s="12" t="s">
        <v>63</v>
      </c>
      <c r="F19" s="13"/>
      <c r="G19" s="14">
        <v>40.020000000000003</v>
      </c>
      <c r="H19" s="14">
        <v>2.62</v>
      </c>
      <c r="I19" s="14">
        <v>10.56</v>
      </c>
      <c r="J19" s="14">
        <v>11.6</v>
      </c>
      <c r="K19" s="14">
        <v>0.19</v>
      </c>
      <c r="L19" s="14">
        <v>12.4</v>
      </c>
      <c r="M19" s="14">
        <v>11.11</v>
      </c>
      <c r="N19" s="14">
        <v>3.14</v>
      </c>
      <c r="O19" s="14">
        <v>2.16</v>
      </c>
      <c r="P19" s="14">
        <v>0.56999999999999995</v>
      </c>
      <c r="Q19" s="14">
        <v>5</v>
      </c>
      <c r="R19" s="15"/>
      <c r="S19" s="15">
        <f t="shared" si="0"/>
        <v>94.36999999999999</v>
      </c>
      <c r="T19" s="16"/>
      <c r="U19" s="17"/>
      <c r="V19" s="17"/>
      <c r="AF19" s="19">
        <f t="shared" si="1"/>
        <v>0.71356749422863153</v>
      </c>
      <c r="AG19" s="20">
        <f t="shared" si="2"/>
        <v>15706.900000000001</v>
      </c>
      <c r="AH19" s="20">
        <f t="shared" si="3"/>
        <v>17932.32</v>
      </c>
      <c r="AI19" s="20">
        <f t="shared" si="4"/>
        <v>2487.4799999999996</v>
      </c>
      <c r="AJ19" s="19">
        <f t="shared" si="5"/>
        <v>5.3000000000000007</v>
      </c>
      <c r="AK19" s="19">
        <f t="shared" si="6"/>
        <v>0.68789808917197459</v>
      </c>
      <c r="AL19" s="19">
        <f t="shared" si="7"/>
        <v>1.4537037037037037</v>
      </c>
      <c r="AM19" s="19">
        <f t="shared" si="8"/>
        <v>1.0520833333333333</v>
      </c>
      <c r="AN19" s="19">
        <f t="shared" si="9"/>
        <v>0.20454545454545456</v>
      </c>
      <c r="AO19" s="19">
        <f t="shared" si="10"/>
        <v>0.71054765379670881</v>
      </c>
      <c r="AP19" s="19">
        <f t="shared" si="11"/>
        <v>1.4073651424456113</v>
      </c>
      <c r="AQ19" s="19">
        <f t="shared" si="12"/>
        <v>0.38119079262656175</v>
      </c>
      <c r="AR19" s="19">
        <f t="shared" si="13"/>
        <v>0.71054765379670881</v>
      </c>
      <c r="AS19" s="20">
        <f t="shared" si="14"/>
        <v>1742.1357101450162</v>
      </c>
      <c r="AT19" s="20">
        <f t="shared" si="15"/>
        <v>2021.4196262946271</v>
      </c>
      <c r="AU19" s="19">
        <f t="shared" si="16"/>
        <v>5.3973013493253376E-2</v>
      </c>
      <c r="AV19" s="19">
        <f t="shared" si="17"/>
        <v>0.22139548349739432</v>
      </c>
      <c r="AX19" s="1">
        <v>41</v>
      </c>
      <c r="AY19" s="1">
        <v>1184</v>
      </c>
      <c r="AZ19" s="1">
        <v>1074</v>
      </c>
      <c r="BA19" s="1"/>
      <c r="BB19" s="1">
        <v>25</v>
      </c>
      <c r="BC19" s="1"/>
      <c r="BD19" s="1"/>
      <c r="BE19" s="1"/>
      <c r="BF19" s="1">
        <v>236</v>
      </c>
      <c r="BG19" s="1"/>
      <c r="BH19" s="1"/>
      <c r="BI19" s="1">
        <v>21</v>
      </c>
      <c r="BJ19" s="1">
        <v>263</v>
      </c>
      <c r="BK19" s="1">
        <v>81</v>
      </c>
      <c r="BL19" s="1">
        <v>6.8</v>
      </c>
      <c r="BM19" s="1">
        <v>5.2</v>
      </c>
      <c r="BN19" s="1">
        <v>75</v>
      </c>
      <c r="BO19" s="1">
        <v>141</v>
      </c>
      <c r="BP19" s="1">
        <v>16</v>
      </c>
      <c r="BQ19" s="1">
        <v>59</v>
      </c>
      <c r="BR19" s="1">
        <v>10</v>
      </c>
      <c r="BS19" s="1">
        <v>2.7</v>
      </c>
      <c r="BT19" s="1">
        <v>7.55</v>
      </c>
      <c r="BU19" s="1">
        <v>0.9</v>
      </c>
      <c r="BV19" s="1">
        <v>4.6500000000000004</v>
      </c>
      <c r="BW19" s="1">
        <v>0.81</v>
      </c>
      <c r="BX19" s="1">
        <v>2.04</v>
      </c>
      <c r="BY19" s="1">
        <v>0.27</v>
      </c>
      <c r="BZ19" s="1">
        <v>1.63</v>
      </c>
      <c r="CA19" s="1">
        <v>0.23</v>
      </c>
      <c r="CB19" s="1"/>
      <c r="CC19" s="1">
        <v>7.7</v>
      </c>
      <c r="CD19" s="1"/>
      <c r="CE19" s="21"/>
      <c r="CG19" s="22">
        <f t="shared" si="18"/>
        <v>309.91735537190084</v>
      </c>
      <c r="CH19" s="22">
        <f t="shared" si="64"/>
        <v>222.04724409448818</v>
      </c>
      <c r="CI19" s="22">
        <f t="shared" ref="CI19:CI44" si="80">BP19/0.0963</f>
        <v>166.14745586708204</v>
      </c>
      <c r="CJ19" s="22">
        <f t="shared" ref="CJ19:CJ48" si="81">BQ19/0.48</f>
        <v>122.91666666666667</v>
      </c>
      <c r="CK19" s="22">
        <f t="shared" ref="CK19:CK48" si="82">BR19/0.156</f>
        <v>64.102564102564102</v>
      </c>
      <c r="CL19" s="22">
        <v>49.059100000000001</v>
      </c>
      <c r="CM19" s="22">
        <f t="shared" ref="CM19:CM48" si="83">BT19/0.212</f>
        <v>35.613207547169814</v>
      </c>
      <c r="CN19" s="22">
        <f t="shared" ref="CN19:CN44" si="84">BU19/0.0376</f>
        <v>23.936170212765958</v>
      </c>
      <c r="CO19" s="22">
        <f t="shared" ref="CO19:CO48" si="85">BV19/0.259</f>
        <v>17.953667953667953</v>
      </c>
      <c r="CP19" s="22">
        <f t="shared" ref="CP19:CP48" si="86">BW19/0.0585</f>
        <v>13.846153846153847</v>
      </c>
      <c r="CQ19" s="22">
        <f t="shared" ref="CQ19:CQ48" si="87">BX19/0.163</f>
        <v>12.515337423312884</v>
      </c>
      <c r="CR19" s="22">
        <f t="shared" ref="CR19:CR44" si="88">BY19/0.0256</f>
        <v>10.546875</v>
      </c>
      <c r="CS19" s="22">
        <f t="shared" si="26"/>
        <v>9.8192771084337345</v>
      </c>
      <c r="CT19" s="22">
        <f t="shared" si="71"/>
        <v>9.1999999999999993</v>
      </c>
      <c r="CU19" s="22">
        <f t="shared" si="59"/>
        <v>13.25925925925926</v>
      </c>
      <c r="CV19" s="22">
        <f t="shared" si="28"/>
        <v>14.32</v>
      </c>
      <c r="CW19" s="22">
        <f t="shared" si="60"/>
        <v>0.92592592592592593</v>
      </c>
      <c r="CX19" s="20">
        <f t="shared" si="61"/>
        <v>193.91234567901236</v>
      </c>
      <c r="CY19" s="22"/>
      <c r="CZ19" s="22"/>
      <c r="DA19" s="22"/>
      <c r="DB19" s="22">
        <f t="shared" si="62"/>
        <v>3.2469135802469138</v>
      </c>
      <c r="DC19" s="22">
        <f t="shared" ref="DC19:DC44" si="89">AZ19/CC19</f>
        <v>139.48051948051949</v>
      </c>
      <c r="DD19" s="22"/>
      <c r="DE19" s="22"/>
      <c r="DF19" s="22"/>
      <c r="DG19" s="19">
        <f t="shared" si="31"/>
        <v>3.8571428571428572</v>
      </c>
      <c r="DH19" s="20">
        <f t="shared" si="32"/>
        <v>239.0976</v>
      </c>
      <c r="DI19" s="19"/>
      <c r="DJ19" s="22"/>
      <c r="DK19" s="22"/>
      <c r="DL19" s="22"/>
      <c r="DM19" s="22">
        <f t="shared" si="36"/>
        <v>46.012269938650313</v>
      </c>
      <c r="DN19" s="22">
        <f>BL19/BQ19</f>
        <v>0.11525423728813559</v>
      </c>
      <c r="DO19" s="22">
        <f t="shared" si="38"/>
        <v>6.1349693251533743</v>
      </c>
      <c r="DP19" s="20">
        <f t="shared" si="39"/>
        <v>726.38036809815958</v>
      </c>
      <c r="DQ19" s="22"/>
      <c r="DR19" s="22"/>
      <c r="DS19" s="19"/>
      <c r="DT19" s="23">
        <f t="shared" si="43"/>
        <v>8.4459459459459464E-4</v>
      </c>
      <c r="DU19" s="22">
        <f t="shared" si="44"/>
        <v>12.523809523809524</v>
      </c>
      <c r="DV19" s="22"/>
      <c r="DW19" s="22">
        <f t="shared" si="63"/>
        <v>0.21861173293352021</v>
      </c>
      <c r="DX19" s="22">
        <f t="shared" si="45"/>
        <v>30.798479087452471</v>
      </c>
      <c r="DY19" s="22">
        <f t="shared" si="46"/>
        <v>2.9277566539923954</v>
      </c>
      <c r="DZ19" s="19">
        <f t="shared" si="47"/>
        <v>0.9943250975888468</v>
      </c>
      <c r="EA19" s="23"/>
      <c r="EB19" s="19">
        <f t="shared" ref="EB19:EB44" si="90">CC19/BK19</f>
        <v>9.5061728395061731E-2</v>
      </c>
      <c r="EC19" s="19"/>
      <c r="ED19" s="19"/>
      <c r="EE19" s="19">
        <f t="shared" si="48"/>
        <v>42.407544770583883</v>
      </c>
      <c r="EF19" s="19">
        <f t="shared" si="49"/>
        <v>2.7763060294585147</v>
      </c>
      <c r="EG19" s="19">
        <f t="shared" si="50"/>
        <v>11.189996821023632</v>
      </c>
      <c r="EH19" s="19">
        <f t="shared" si="51"/>
        <v>12.29204196248808</v>
      </c>
      <c r="EI19" s="19">
        <f t="shared" si="52"/>
        <v>0.2013351700752358</v>
      </c>
      <c r="EJ19" s="19">
        <f t="shared" si="53"/>
        <v>13.139768994383809</v>
      </c>
      <c r="EK19" s="19">
        <f t="shared" si="54"/>
        <v>11.772809155451945</v>
      </c>
      <c r="EL19" s="19">
        <f t="shared" si="55"/>
        <v>3.3273286001907389</v>
      </c>
      <c r="EM19" s="19">
        <f t="shared" si="56"/>
        <v>2.2888629861184699</v>
      </c>
      <c r="EN19" s="19">
        <f t="shared" si="57"/>
        <v>0.60400551022570725</v>
      </c>
      <c r="EO19" s="19">
        <f t="shared" si="58"/>
        <v>100.00000000000003</v>
      </c>
    </row>
    <row r="20" spans="1:145" s="18" customFormat="1">
      <c r="A20" s="1" t="s">
        <v>231</v>
      </c>
      <c r="B20" s="1">
        <v>4</v>
      </c>
      <c r="C20" s="1" t="s">
        <v>254</v>
      </c>
      <c r="D20" s="1" t="s">
        <v>244</v>
      </c>
      <c r="F20" s="1" t="s">
        <v>255</v>
      </c>
      <c r="G20" s="1">
        <v>41.68</v>
      </c>
      <c r="H20" s="1">
        <v>3.32</v>
      </c>
      <c r="I20" s="1">
        <v>7.71</v>
      </c>
      <c r="J20" s="1">
        <v>11.0497</v>
      </c>
      <c r="K20" s="1">
        <v>0.17</v>
      </c>
      <c r="L20" s="1">
        <v>13.68</v>
      </c>
      <c r="M20" s="1">
        <v>14.82</v>
      </c>
      <c r="N20" s="1">
        <v>1.22</v>
      </c>
      <c r="O20" s="1">
        <v>3.99</v>
      </c>
      <c r="P20" s="1">
        <v>0.69</v>
      </c>
      <c r="Q20" s="1">
        <v>1.52</v>
      </c>
      <c r="R20" s="15"/>
      <c r="S20" s="15">
        <f t="shared" si="0"/>
        <v>98.329699999999988</v>
      </c>
      <c r="T20" s="16"/>
      <c r="U20" s="1">
        <v>0.70504500000000003</v>
      </c>
      <c r="V20" s="1">
        <v>0.51235699999999995</v>
      </c>
      <c r="AF20" s="19">
        <f t="shared" si="1"/>
        <v>0.74261684236613668</v>
      </c>
      <c r="AG20" s="20">
        <f t="shared" si="2"/>
        <v>19903.399999999998</v>
      </c>
      <c r="AH20" s="20">
        <f t="shared" si="3"/>
        <v>33124.980000000003</v>
      </c>
      <c r="AI20" s="20">
        <f t="shared" si="4"/>
        <v>3011.16</v>
      </c>
      <c r="AJ20" s="19">
        <f t="shared" si="5"/>
        <v>5.21</v>
      </c>
      <c r="AK20" s="19">
        <f t="shared" si="6"/>
        <v>3.2704918032786887</v>
      </c>
      <c r="AL20" s="19">
        <f t="shared" si="7"/>
        <v>0.30576441102756891</v>
      </c>
      <c r="AM20" s="19">
        <f t="shared" si="8"/>
        <v>1.9221789883268483</v>
      </c>
      <c r="AN20" s="19">
        <f t="shared" si="9"/>
        <v>0.51750972762645919</v>
      </c>
      <c r="AO20" s="19">
        <f t="shared" si="10"/>
        <v>0.82044681984684176</v>
      </c>
      <c r="AP20" s="19">
        <f t="shared" si="11"/>
        <v>1.2188480420786769</v>
      </c>
      <c r="AQ20" s="19">
        <f t="shared" si="12"/>
        <v>0.23173934144339725</v>
      </c>
      <c r="AR20" s="19">
        <f t="shared" si="13"/>
        <v>0.82044681984684176</v>
      </c>
      <c r="AS20" s="20">
        <f t="shared" si="14"/>
        <v>1902.7793349178314</v>
      </c>
      <c r="AT20" s="20">
        <f t="shared" si="15"/>
        <v>2379.8690419743539</v>
      </c>
      <c r="AU20" s="19">
        <f t="shared" si="16"/>
        <v>9.5729366602687146E-2</v>
      </c>
      <c r="AV20" s="19">
        <f t="shared" si="17"/>
        <v>0.56014110221649438</v>
      </c>
      <c r="AX20" s="1">
        <v>153</v>
      </c>
      <c r="AY20" s="1"/>
      <c r="AZ20" s="1">
        <v>1660</v>
      </c>
      <c r="BA20" s="1">
        <v>802</v>
      </c>
      <c r="BB20" s="1">
        <v>41</v>
      </c>
      <c r="BC20" s="1">
        <v>338</v>
      </c>
      <c r="BD20" s="1">
        <v>209</v>
      </c>
      <c r="BE20" s="1">
        <v>55</v>
      </c>
      <c r="BF20" s="1"/>
      <c r="BG20" s="1">
        <v>158</v>
      </c>
      <c r="BH20" s="1">
        <v>64</v>
      </c>
      <c r="BI20" s="1">
        <v>16.100000000000001</v>
      </c>
      <c r="BJ20" s="1">
        <v>215</v>
      </c>
      <c r="BK20" s="1">
        <v>97</v>
      </c>
      <c r="BL20" s="1">
        <v>7.22</v>
      </c>
      <c r="BM20" s="1">
        <v>7.85</v>
      </c>
      <c r="BN20" s="1">
        <v>89</v>
      </c>
      <c r="BO20" s="1">
        <v>167</v>
      </c>
      <c r="BP20" s="1">
        <v>1008</v>
      </c>
      <c r="BQ20" s="1">
        <v>67.400000000000006</v>
      </c>
      <c r="BR20" s="1">
        <v>10.7</v>
      </c>
      <c r="BS20" s="1">
        <v>2.93</v>
      </c>
      <c r="BT20" s="1">
        <v>6.9</v>
      </c>
      <c r="BU20" s="1">
        <v>0.91</v>
      </c>
      <c r="BV20" s="1">
        <v>3.91</v>
      </c>
      <c r="BW20" s="1"/>
      <c r="BX20" s="1">
        <v>1.37</v>
      </c>
      <c r="BY20" s="1"/>
      <c r="BZ20" s="1">
        <v>1.02</v>
      </c>
      <c r="CA20" s="1">
        <v>0.15</v>
      </c>
      <c r="CB20" s="1"/>
      <c r="CC20" s="1">
        <v>12.8</v>
      </c>
      <c r="CD20" s="1">
        <v>2.4</v>
      </c>
      <c r="CE20" s="1">
        <v>12.5</v>
      </c>
      <c r="CG20" s="22">
        <f t="shared" si="18"/>
        <v>367.76859504132233</v>
      </c>
      <c r="CH20" s="22">
        <f t="shared" si="64"/>
        <v>262.99212598425197</v>
      </c>
      <c r="CI20" s="22">
        <f t="shared" si="80"/>
        <v>10467.289719626169</v>
      </c>
      <c r="CJ20" s="22">
        <f t="shared" si="81"/>
        <v>140.41666666666669</v>
      </c>
      <c r="CK20" s="22">
        <f t="shared" si="82"/>
        <v>68.589743589743591</v>
      </c>
      <c r="CL20" s="22">
        <v>50.059100000000001</v>
      </c>
      <c r="CM20" s="22">
        <f t="shared" si="83"/>
        <v>32.547169811320757</v>
      </c>
      <c r="CN20" s="22">
        <f t="shared" si="84"/>
        <v>24.202127659574469</v>
      </c>
      <c r="CO20" s="22">
        <f t="shared" si="85"/>
        <v>15.096525096525097</v>
      </c>
      <c r="CP20" s="22">
        <f t="shared" si="86"/>
        <v>0</v>
      </c>
      <c r="CQ20" s="22">
        <f t="shared" si="87"/>
        <v>8.404907975460123</v>
      </c>
      <c r="CR20" s="22">
        <f t="shared" si="88"/>
        <v>0</v>
      </c>
      <c r="CS20" s="22">
        <f t="shared" si="26"/>
        <v>6.1445783132530121</v>
      </c>
      <c r="CT20" s="22">
        <f t="shared" si="71"/>
        <v>5.9999999999999991</v>
      </c>
      <c r="CU20" s="22">
        <f t="shared" si="59"/>
        <v>17.11340206185567</v>
      </c>
      <c r="CV20" s="22">
        <f t="shared" si="28"/>
        <v>18.651685393258425</v>
      </c>
      <c r="CW20" s="22">
        <f t="shared" si="60"/>
        <v>0.91752577319587625</v>
      </c>
      <c r="CX20" s="20">
        <f t="shared" si="61"/>
        <v>205.18969072164947</v>
      </c>
      <c r="CY20" s="22"/>
      <c r="CZ20" s="22"/>
      <c r="DA20" s="22"/>
      <c r="DB20" s="22">
        <f t="shared" si="62"/>
        <v>2.2164948453608249</v>
      </c>
      <c r="DC20" s="22">
        <f t="shared" si="89"/>
        <v>129.6875</v>
      </c>
      <c r="DD20" s="22"/>
      <c r="DE20" s="22"/>
      <c r="DF20" s="22"/>
      <c r="DG20" s="19">
        <f t="shared" si="31"/>
        <v>6.024844720496894</v>
      </c>
      <c r="DH20" s="20">
        <f t="shared" si="32"/>
        <v>372.19078651685396</v>
      </c>
      <c r="DI20" s="19"/>
      <c r="DJ20" s="22"/>
      <c r="DK20" s="22"/>
      <c r="DL20" s="22"/>
      <c r="DM20" s="22">
        <f t="shared" si="36"/>
        <v>87.254901960784309</v>
      </c>
      <c r="DN20" s="22">
        <f>BL20/BQ20</f>
        <v>0.10712166172106824</v>
      </c>
      <c r="DO20" s="22">
        <f t="shared" si="38"/>
        <v>10.490196078431371</v>
      </c>
      <c r="DP20" s="20"/>
      <c r="DQ20" s="22"/>
      <c r="DR20" s="22"/>
      <c r="DS20" s="19"/>
      <c r="DT20" s="23"/>
      <c r="DU20" s="22">
        <f t="shared" si="44"/>
        <v>13.354037267080745</v>
      </c>
      <c r="DV20" s="22"/>
      <c r="DW20" s="22">
        <f t="shared" si="63"/>
        <v>0.35876969717758422</v>
      </c>
      <c r="DX20" s="22">
        <f t="shared" si="45"/>
        <v>45.116279069767444</v>
      </c>
      <c r="DY20" s="22">
        <f t="shared" si="46"/>
        <v>5.9534883720930232</v>
      </c>
      <c r="DZ20" s="19"/>
      <c r="EA20" s="23"/>
      <c r="EB20" s="19">
        <f t="shared" si="90"/>
        <v>0.13195876288659794</v>
      </c>
      <c r="EC20" s="19"/>
      <c r="ED20" s="19"/>
      <c r="EE20" s="19">
        <f t="shared" si="48"/>
        <v>42.388006878898246</v>
      </c>
      <c r="EF20" s="19">
        <f t="shared" si="49"/>
        <v>3.3763959414093612</v>
      </c>
      <c r="EG20" s="19">
        <f t="shared" si="50"/>
        <v>7.8409676832127024</v>
      </c>
      <c r="EH20" s="19">
        <f t="shared" si="51"/>
        <v>11.237398263190066</v>
      </c>
      <c r="EI20" s="19">
        <f t="shared" si="52"/>
        <v>0.17288774398782872</v>
      </c>
      <c r="EJ20" s="19">
        <f t="shared" si="53"/>
        <v>13.912378457373512</v>
      </c>
      <c r="EK20" s="19">
        <f t="shared" si="54"/>
        <v>15.071743328821304</v>
      </c>
      <c r="EL20" s="19">
        <f t="shared" si="55"/>
        <v>1.2407238097950062</v>
      </c>
      <c r="EM20" s="19">
        <f t="shared" si="56"/>
        <v>4.0577770500672745</v>
      </c>
      <c r="EN20" s="19">
        <f t="shared" si="57"/>
        <v>0.70172084324471662</v>
      </c>
      <c r="EO20" s="19">
        <f t="shared" si="58"/>
        <v>100</v>
      </c>
    </row>
    <row r="21" spans="1:145" s="18" customFormat="1">
      <c r="A21" s="1" t="s">
        <v>231</v>
      </c>
      <c r="B21" s="1">
        <v>4</v>
      </c>
      <c r="C21" s="1" t="s">
        <v>254</v>
      </c>
      <c r="D21" s="1" t="s">
        <v>244</v>
      </c>
      <c r="F21" s="1" t="s">
        <v>255</v>
      </c>
      <c r="G21" s="1">
        <v>42.67</v>
      </c>
      <c r="H21" s="1">
        <v>3.58</v>
      </c>
      <c r="I21" s="1">
        <v>10.61</v>
      </c>
      <c r="J21" s="1">
        <v>12.067500000000001</v>
      </c>
      <c r="K21" s="1">
        <v>0.2</v>
      </c>
      <c r="L21" s="1">
        <v>8.4700000000000006</v>
      </c>
      <c r="M21" s="1">
        <v>13.1</v>
      </c>
      <c r="N21" s="1">
        <v>3.68</v>
      </c>
      <c r="O21" s="1">
        <v>2.84</v>
      </c>
      <c r="P21" s="1">
        <v>0.84</v>
      </c>
      <c r="Q21" s="1">
        <v>1.73</v>
      </c>
      <c r="R21" s="15"/>
      <c r="S21" s="15">
        <f t="shared" si="0"/>
        <v>98.057500000000005</v>
      </c>
      <c r="T21" s="16"/>
      <c r="U21" s="1">
        <v>0.70479199999999997</v>
      </c>
      <c r="V21" s="1">
        <v>0.51235600000000003</v>
      </c>
      <c r="AF21" s="19">
        <f t="shared" si="1"/>
        <v>0.62060038922384386</v>
      </c>
      <c r="AG21" s="20">
        <f t="shared" si="2"/>
        <v>21462.100000000002</v>
      </c>
      <c r="AH21" s="20">
        <f t="shared" si="3"/>
        <v>23577.68</v>
      </c>
      <c r="AI21" s="20">
        <f t="shared" si="4"/>
        <v>3665.7599999999998</v>
      </c>
      <c r="AJ21" s="19">
        <f t="shared" si="5"/>
        <v>6.52</v>
      </c>
      <c r="AK21" s="19">
        <f t="shared" si="6"/>
        <v>0.77173913043478248</v>
      </c>
      <c r="AL21" s="19">
        <f t="shared" si="7"/>
        <v>1.295774647887324</v>
      </c>
      <c r="AM21" s="19">
        <f t="shared" si="8"/>
        <v>1.234684260131951</v>
      </c>
      <c r="AN21" s="19">
        <f t="shared" si="9"/>
        <v>0.26767200754005654</v>
      </c>
      <c r="AO21" s="19">
        <f t="shared" si="10"/>
        <v>0.86029457827013722</v>
      </c>
      <c r="AP21" s="19">
        <f t="shared" si="11"/>
        <v>1.1623925400190009</v>
      </c>
      <c r="AQ21" s="19">
        <f t="shared" si="12"/>
        <v>0.32205133910553457</v>
      </c>
      <c r="AR21" s="19">
        <f t="shared" si="13"/>
        <v>0.86029457827013722</v>
      </c>
      <c r="AS21" s="20">
        <f t="shared" si="14"/>
        <v>1647.3475763151</v>
      </c>
      <c r="AT21" s="20">
        <f t="shared" si="15"/>
        <v>1964.1302269241896</v>
      </c>
      <c r="AU21" s="19">
        <f t="shared" si="16"/>
        <v>6.6557300210921017E-2</v>
      </c>
      <c r="AV21" s="19">
        <f t="shared" si="17"/>
        <v>0.28972227058157285</v>
      </c>
      <c r="AX21" s="1">
        <v>233</v>
      </c>
      <c r="AY21" s="1"/>
      <c r="AZ21" s="1">
        <v>1760</v>
      </c>
      <c r="BA21" s="1">
        <v>302</v>
      </c>
      <c r="BB21" s="1">
        <v>36</v>
      </c>
      <c r="BC21" s="1">
        <v>373</v>
      </c>
      <c r="BD21" s="1">
        <v>98</v>
      </c>
      <c r="BE21" s="1">
        <v>44</v>
      </c>
      <c r="BF21" s="1"/>
      <c r="BG21" s="1">
        <v>125</v>
      </c>
      <c r="BH21" s="1">
        <v>94</v>
      </c>
      <c r="BI21" s="1">
        <v>22.8</v>
      </c>
      <c r="BJ21" s="1">
        <v>338</v>
      </c>
      <c r="BK21" s="1">
        <v>116</v>
      </c>
      <c r="BL21" s="1">
        <v>7.74</v>
      </c>
      <c r="BM21" s="1">
        <v>11.7</v>
      </c>
      <c r="BN21" s="1">
        <v>104</v>
      </c>
      <c r="BO21" s="1">
        <v>196</v>
      </c>
      <c r="BP21" s="1">
        <v>1120</v>
      </c>
      <c r="BQ21" s="1">
        <v>86</v>
      </c>
      <c r="BR21" s="1">
        <v>12.1</v>
      </c>
      <c r="BS21" s="1">
        <v>3.07</v>
      </c>
      <c r="BT21" s="1">
        <v>8.1</v>
      </c>
      <c r="BU21" s="1">
        <v>0.96</v>
      </c>
      <c r="BV21" s="1">
        <v>4.17</v>
      </c>
      <c r="BW21" s="1"/>
      <c r="BX21" s="1">
        <v>1.55</v>
      </c>
      <c r="BY21" s="1"/>
      <c r="BZ21" s="1">
        <v>0.93</v>
      </c>
      <c r="CA21" s="1">
        <v>0.12</v>
      </c>
      <c r="CB21" s="1"/>
      <c r="CC21" s="1">
        <v>13.7</v>
      </c>
      <c r="CD21" s="1">
        <v>3</v>
      </c>
      <c r="CE21" s="1">
        <v>15.3</v>
      </c>
      <c r="CG21" s="22">
        <f t="shared" si="18"/>
        <v>429.75206611570252</v>
      </c>
      <c r="CH21" s="22">
        <f t="shared" si="64"/>
        <v>308.66141732283467</v>
      </c>
      <c r="CI21" s="22">
        <f t="shared" si="80"/>
        <v>11630.321910695742</v>
      </c>
      <c r="CJ21" s="22">
        <f t="shared" si="81"/>
        <v>179.16666666666669</v>
      </c>
      <c r="CK21" s="22">
        <f t="shared" si="82"/>
        <v>77.564102564102555</v>
      </c>
      <c r="CL21" s="22">
        <v>51.059100000000001</v>
      </c>
      <c r="CM21" s="22">
        <f t="shared" si="83"/>
        <v>38.20754716981132</v>
      </c>
      <c r="CN21" s="22">
        <f t="shared" si="84"/>
        <v>25.531914893617021</v>
      </c>
      <c r="CO21" s="22">
        <f t="shared" si="85"/>
        <v>16.1003861003861</v>
      </c>
      <c r="CP21" s="22">
        <f t="shared" si="86"/>
        <v>0</v>
      </c>
      <c r="CQ21" s="22">
        <f t="shared" si="87"/>
        <v>9.5092024539877293</v>
      </c>
      <c r="CR21" s="22">
        <f t="shared" si="88"/>
        <v>0</v>
      </c>
      <c r="CS21" s="22">
        <f t="shared" si="26"/>
        <v>5.6024096385542173</v>
      </c>
      <c r="CT21" s="22">
        <f t="shared" si="71"/>
        <v>4.8</v>
      </c>
      <c r="CU21" s="22">
        <f t="shared" si="59"/>
        <v>15.172413793103448</v>
      </c>
      <c r="CV21" s="22">
        <f t="shared" si="28"/>
        <v>16.923076923076923</v>
      </c>
      <c r="CW21" s="22">
        <f t="shared" si="60"/>
        <v>0.89655172413793105</v>
      </c>
      <c r="CX21" s="20">
        <f t="shared" si="61"/>
        <v>185.01810344827589</v>
      </c>
      <c r="CY21" s="22"/>
      <c r="CZ21" s="22"/>
      <c r="DA21" s="22"/>
      <c r="DB21" s="22">
        <f t="shared" si="62"/>
        <v>2.9137931034482758</v>
      </c>
      <c r="DC21" s="22">
        <f t="shared" si="89"/>
        <v>128.46715328467155</v>
      </c>
      <c r="DD21" s="22"/>
      <c r="DE21" s="22"/>
      <c r="DF21" s="22"/>
      <c r="DG21" s="19">
        <f t="shared" si="31"/>
        <v>5.0877192982456139</v>
      </c>
      <c r="DH21" s="20">
        <f t="shared" si="32"/>
        <v>226.70846153846153</v>
      </c>
      <c r="DI21" s="19"/>
      <c r="DJ21" s="22"/>
      <c r="DK21" s="22"/>
      <c r="DL21" s="22"/>
      <c r="DM21" s="22">
        <f t="shared" si="36"/>
        <v>111.82795698924731</v>
      </c>
      <c r="DN21" s="22">
        <f>BL21/BQ21</f>
        <v>0.09</v>
      </c>
      <c r="DO21" s="22">
        <f t="shared" si="38"/>
        <v>13.010752688172042</v>
      </c>
      <c r="DP21" s="20"/>
      <c r="DQ21" s="22"/>
      <c r="DR21" s="22"/>
      <c r="DS21" s="19"/>
      <c r="DT21" s="23"/>
      <c r="DU21" s="22">
        <f t="shared" si="44"/>
        <v>14.824561403508772</v>
      </c>
      <c r="DV21" s="22"/>
      <c r="DW21" s="22">
        <f t="shared" si="63"/>
        <v>0.19823798393423919</v>
      </c>
      <c r="DX21" s="22">
        <f t="shared" si="45"/>
        <v>34.319526627218934</v>
      </c>
      <c r="DY21" s="22">
        <f t="shared" si="46"/>
        <v>4.0532544378698221</v>
      </c>
      <c r="DZ21" s="19"/>
      <c r="EA21" s="23"/>
      <c r="EB21" s="19">
        <f t="shared" si="90"/>
        <v>0.11810344827586207</v>
      </c>
      <c r="EC21" s="19"/>
      <c r="ED21" s="19"/>
      <c r="EE21" s="19">
        <f t="shared" si="48"/>
        <v>43.515284399459496</v>
      </c>
      <c r="EF21" s="19">
        <f t="shared" si="49"/>
        <v>3.6509191035871806</v>
      </c>
      <c r="EG21" s="19">
        <f t="shared" si="50"/>
        <v>10.820182036050277</v>
      </c>
      <c r="EH21" s="19">
        <f t="shared" si="51"/>
        <v>12.306554827524666</v>
      </c>
      <c r="EI21" s="19">
        <f t="shared" si="52"/>
        <v>0.20396196109425591</v>
      </c>
      <c r="EJ21" s="19">
        <f t="shared" si="53"/>
        <v>8.6377890523417395</v>
      </c>
      <c r="EK21" s="19">
        <f t="shared" si="54"/>
        <v>13.359508451673761</v>
      </c>
      <c r="EL21" s="19">
        <f t="shared" si="55"/>
        <v>3.7529000841343088</v>
      </c>
      <c r="EM21" s="19">
        <f t="shared" si="56"/>
        <v>2.8962598475384338</v>
      </c>
      <c r="EN21" s="19">
        <f t="shared" si="57"/>
        <v>0.85664023659587485</v>
      </c>
      <c r="EO21" s="19">
        <f t="shared" si="58"/>
        <v>100</v>
      </c>
    </row>
    <row r="22" spans="1:145" s="18" customFormat="1">
      <c r="A22" s="1" t="s">
        <v>231</v>
      </c>
      <c r="B22" s="1">
        <v>4</v>
      </c>
      <c r="C22" s="1" t="s">
        <v>254</v>
      </c>
      <c r="D22" s="1" t="s">
        <v>244</v>
      </c>
      <c r="F22" s="1" t="s">
        <v>255</v>
      </c>
      <c r="G22" s="1">
        <v>41.79</v>
      </c>
      <c r="H22" s="1">
        <v>3.73</v>
      </c>
      <c r="I22" s="1">
        <v>11.06</v>
      </c>
      <c r="J22" s="1">
        <v>12.806000000000001</v>
      </c>
      <c r="K22" s="1">
        <v>0.22</v>
      </c>
      <c r="L22" s="1">
        <v>7.59</v>
      </c>
      <c r="M22" s="1">
        <v>13.27</v>
      </c>
      <c r="N22" s="1">
        <v>4.1900000000000004</v>
      </c>
      <c r="O22" s="1">
        <v>1.05</v>
      </c>
      <c r="P22" s="1">
        <v>0.91</v>
      </c>
      <c r="Q22" s="1">
        <v>3.29</v>
      </c>
      <c r="R22" s="15"/>
      <c r="S22" s="15">
        <f t="shared" si="0"/>
        <v>96.615999999999985</v>
      </c>
      <c r="T22" s="16"/>
      <c r="U22" s="1">
        <v>0.70519399999999999</v>
      </c>
      <c r="V22" s="1">
        <v>0.51234800000000003</v>
      </c>
      <c r="AF22" s="19">
        <f t="shared" si="1"/>
        <v>0.58005532433442331</v>
      </c>
      <c r="AG22" s="20">
        <f t="shared" si="2"/>
        <v>22361.35</v>
      </c>
      <c r="AH22" s="20">
        <f t="shared" si="3"/>
        <v>8717.1</v>
      </c>
      <c r="AI22" s="20">
        <f t="shared" si="4"/>
        <v>3971.2400000000002</v>
      </c>
      <c r="AJ22" s="19">
        <f t="shared" si="5"/>
        <v>5.24</v>
      </c>
      <c r="AK22" s="19">
        <f t="shared" si="6"/>
        <v>0.25059665871121717</v>
      </c>
      <c r="AL22" s="19">
        <f t="shared" si="7"/>
        <v>3.9904761904761905</v>
      </c>
      <c r="AM22" s="19">
        <f t="shared" si="8"/>
        <v>1.1998191681735986</v>
      </c>
      <c r="AN22" s="19">
        <f t="shared" si="9"/>
        <v>9.49367088607595E-2</v>
      </c>
      <c r="AO22" s="19">
        <f t="shared" si="10"/>
        <v>0.72597132571415879</v>
      </c>
      <c r="AP22" s="19">
        <f t="shared" si="11"/>
        <v>1.3774648730323769</v>
      </c>
      <c r="AQ22" s="19">
        <f t="shared" si="12"/>
        <v>0.34395194111531496</v>
      </c>
      <c r="AR22" s="19">
        <f t="shared" si="13"/>
        <v>0.72597132571415879</v>
      </c>
      <c r="AS22" s="20">
        <f t="shared" si="14"/>
        <v>1720.4855437405477</v>
      </c>
      <c r="AT22" s="20">
        <f t="shared" si="15"/>
        <v>1971.6261681336828</v>
      </c>
      <c r="AU22" s="19">
        <f t="shared" si="16"/>
        <v>2.5125628140703519E-2</v>
      </c>
      <c r="AV22" s="19">
        <f t="shared" si="17"/>
        <v>0.10275739740385391</v>
      </c>
      <c r="AX22" s="1">
        <v>52.8</v>
      </c>
      <c r="AY22" s="1"/>
      <c r="AZ22" s="1">
        <v>1510</v>
      </c>
      <c r="BA22" s="1">
        <v>185</v>
      </c>
      <c r="BB22" s="1">
        <v>37</v>
      </c>
      <c r="BC22" s="1">
        <v>425</v>
      </c>
      <c r="BD22" s="1">
        <v>66</v>
      </c>
      <c r="BE22" s="1">
        <v>39</v>
      </c>
      <c r="BF22" s="1"/>
      <c r="BG22" s="1">
        <v>84</v>
      </c>
      <c r="BH22" s="1">
        <v>98</v>
      </c>
      <c r="BI22" s="1">
        <v>25.3</v>
      </c>
      <c r="BJ22" s="1">
        <v>356</v>
      </c>
      <c r="BK22" s="1">
        <v>121</v>
      </c>
      <c r="BL22" s="1">
        <v>11.3</v>
      </c>
      <c r="BM22" s="1">
        <v>10.199999999999999</v>
      </c>
      <c r="BN22" s="1">
        <v>115</v>
      </c>
      <c r="BO22" s="1">
        <v>214</v>
      </c>
      <c r="BP22" s="1">
        <v>1381</v>
      </c>
      <c r="BQ22" s="1">
        <v>99.5</v>
      </c>
      <c r="BR22" s="1">
        <v>14.2</v>
      </c>
      <c r="BS22" s="1">
        <v>4.0999999999999996</v>
      </c>
      <c r="BT22" s="1">
        <v>9.9</v>
      </c>
      <c r="BU22" s="1">
        <v>1.26</v>
      </c>
      <c r="BV22" s="1">
        <v>5.92</v>
      </c>
      <c r="BW22" s="1"/>
      <c r="BX22" s="1">
        <v>2.2200000000000002</v>
      </c>
      <c r="BY22" s="1"/>
      <c r="BZ22" s="1">
        <v>1.88</v>
      </c>
      <c r="CA22" s="1">
        <v>0.25</v>
      </c>
      <c r="CB22" s="1"/>
      <c r="CC22" s="1">
        <v>14.8</v>
      </c>
      <c r="CD22" s="1">
        <v>2.4</v>
      </c>
      <c r="CE22" s="1">
        <v>15.5</v>
      </c>
      <c r="CG22" s="22">
        <f t="shared" si="18"/>
        <v>475.20661157024796</v>
      </c>
      <c r="CH22" s="22">
        <f t="shared" si="64"/>
        <v>337.00787401574803</v>
      </c>
      <c r="CI22" s="22">
        <f t="shared" si="80"/>
        <v>14340.602284527518</v>
      </c>
      <c r="CJ22" s="22">
        <f t="shared" si="81"/>
        <v>207.29166666666669</v>
      </c>
      <c r="CK22" s="22">
        <f t="shared" si="82"/>
        <v>91.025641025641022</v>
      </c>
      <c r="CL22" s="22">
        <v>52.059100000000001</v>
      </c>
      <c r="CM22" s="22">
        <f t="shared" si="83"/>
        <v>46.698113207547173</v>
      </c>
      <c r="CN22" s="22">
        <f t="shared" si="84"/>
        <v>33.51063829787234</v>
      </c>
      <c r="CO22" s="22">
        <f t="shared" si="85"/>
        <v>22.857142857142858</v>
      </c>
      <c r="CP22" s="22">
        <f t="shared" si="86"/>
        <v>0</v>
      </c>
      <c r="CQ22" s="22">
        <f t="shared" si="87"/>
        <v>13.619631901840492</v>
      </c>
      <c r="CR22" s="22">
        <f t="shared" si="88"/>
        <v>0</v>
      </c>
      <c r="CS22" s="22">
        <f t="shared" si="26"/>
        <v>11.325301204819276</v>
      </c>
      <c r="CT22" s="22">
        <f t="shared" si="71"/>
        <v>10</v>
      </c>
      <c r="CU22" s="22">
        <f t="shared" si="59"/>
        <v>12.479338842975206</v>
      </c>
      <c r="CV22" s="22">
        <f t="shared" si="28"/>
        <v>13.130434782608695</v>
      </c>
      <c r="CW22" s="22">
        <f t="shared" si="60"/>
        <v>0.95041322314049592</v>
      </c>
      <c r="CX22" s="20">
        <f t="shared" si="61"/>
        <v>184.80454545454543</v>
      </c>
      <c r="CY22" s="22"/>
      <c r="CZ22" s="22"/>
      <c r="DA22" s="22"/>
      <c r="DB22" s="22">
        <f t="shared" si="62"/>
        <v>2.9421487603305785</v>
      </c>
      <c r="DC22" s="22">
        <f t="shared" si="89"/>
        <v>102.02702702702702</v>
      </c>
      <c r="DD22" s="22"/>
      <c r="DE22" s="22"/>
      <c r="DF22" s="22"/>
      <c r="DG22" s="19">
        <f t="shared" si="31"/>
        <v>4.7826086956521738</v>
      </c>
      <c r="DH22" s="20">
        <f t="shared" si="32"/>
        <v>75.800869565217397</v>
      </c>
      <c r="DI22" s="19"/>
      <c r="DJ22" s="22"/>
      <c r="DK22" s="22"/>
      <c r="DL22" s="22"/>
      <c r="DM22" s="22">
        <f t="shared" si="36"/>
        <v>61.170212765957451</v>
      </c>
      <c r="DN22" s="22">
        <f>BL22/BQ22</f>
        <v>0.1135678391959799</v>
      </c>
      <c r="DO22" s="22">
        <f t="shared" si="38"/>
        <v>7.5531914893617023</v>
      </c>
      <c r="DP22" s="20"/>
      <c r="DQ22" s="22"/>
      <c r="DR22" s="22"/>
      <c r="DS22" s="19"/>
      <c r="DT22" s="23"/>
      <c r="DU22" s="22">
        <f t="shared" si="44"/>
        <v>14.071146245059289</v>
      </c>
      <c r="DV22" s="22"/>
      <c r="DW22" s="22">
        <f t="shared" si="63"/>
        <v>0.21487225369028229</v>
      </c>
      <c r="DX22" s="22">
        <f t="shared" si="45"/>
        <v>33.988764044943821</v>
      </c>
      <c r="DY22" s="22">
        <f t="shared" si="46"/>
        <v>4.1573033707865168</v>
      </c>
      <c r="DZ22" s="19"/>
      <c r="EA22" s="23"/>
      <c r="EB22" s="19">
        <f t="shared" si="90"/>
        <v>0.12231404958677687</v>
      </c>
      <c r="EC22" s="19"/>
      <c r="ED22" s="19"/>
      <c r="EE22" s="19">
        <f t="shared" si="48"/>
        <v>43.253705390411533</v>
      </c>
      <c r="EF22" s="19">
        <f t="shared" si="49"/>
        <v>3.8606441997184735</v>
      </c>
      <c r="EG22" s="19">
        <f t="shared" si="50"/>
        <v>11.447379316055313</v>
      </c>
      <c r="EH22" s="19">
        <f t="shared" si="51"/>
        <v>13.254533410615222</v>
      </c>
      <c r="EI22" s="19">
        <f t="shared" si="52"/>
        <v>0.2277055560155668</v>
      </c>
      <c r="EJ22" s="19">
        <f t="shared" si="53"/>
        <v>7.8558416825370552</v>
      </c>
      <c r="EK22" s="19">
        <f t="shared" si="54"/>
        <v>13.734785128757144</v>
      </c>
      <c r="EL22" s="19">
        <f t="shared" si="55"/>
        <v>4.336755816841932</v>
      </c>
      <c r="EM22" s="19">
        <f t="shared" si="56"/>
        <v>1.0867765173470234</v>
      </c>
      <c r="EN22" s="19">
        <f t="shared" si="57"/>
        <v>0.94187298170075362</v>
      </c>
      <c r="EO22" s="19">
        <f t="shared" si="58"/>
        <v>100</v>
      </c>
    </row>
    <row r="23" spans="1:145" s="18" customFormat="1">
      <c r="A23" s="1" t="s">
        <v>231</v>
      </c>
      <c r="B23" s="1">
        <v>4</v>
      </c>
      <c r="C23" s="1" t="s">
        <v>254</v>
      </c>
      <c r="D23" s="1" t="s">
        <v>244</v>
      </c>
      <c r="F23" s="1" t="s">
        <v>255</v>
      </c>
      <c r="G23" s="1">
        <v>38.89</v>
      </c>
      <c r="H23" s="1">
        <v>3.78</v>
      </c>
      <c r="I23" s="1">
        <v>7.75</v>
      </c>
      <c r="J23" s="1">
        <v>13.145600000000002</v>
      </c>
      <c r="K23" s="1">
        <v>0.2</v>
      </c>
      <c r="L23" s="1">
        <v>15.24</v>
      </c>
      <c r="M23" s="1">
        <v>13.45</v>
      </c>
      <c r="N23" s="1">
        <v>2.27</v>
      </c>
      <c r="O23" s="1">
        <v>0.5</v>
      </c>
      <c r="P23" s="1">
        <v>0.6</v>
      </c>
      <c r="Q23" s="1">
        <v>4.0599999999999996</v>
      </c>
      <c r="R23" s="15"/>
      <c r="S23" s="15">
        <f t="shared" si="0"/>
        <v>95.825599999999994</v>
      </c>
      <c r="T23" s="16"/>
      <c r="U23" s="1">
        <v>0.70454799999999995</v>
      </c>
      <c r="V23" s="1">
        <v>0.51247200000000004</v>
      </c>
      <c r="AF23" s="19">
        <f t="shared" si="1"/>
        <v>0.72986133757284144</v>
      </c>
      <c r="AG23" s="20">
        <f t="shared" si="2"/>
        <v>22661.1</v>
      </c>
      <c r="AH23" s="20">
        <f t="shared" si="3"/>
        <v>4151</v>
      </c>
      <c r="AI23" s="20">
        <f t="shared" si="4"/>
        <v>2618.4</v>
      </c>
      <c r="AJ23" s="19">
        <f t="shared" si="5"/>
        <v>2.77</v>
      </c>
      <c r="AK23" s="19">
        <f t="shared" si="6"/>
        <v>0.22026431718061673</v>
      </c>
      <c r="AL23" s="19">
        <f t="shared" si="7"/>
        <v>4.54</v>
      </c>
      <c r="AM23" s="19">
        <f t="shared" si="8"/>
        <v>1.735483870967742</v>
      </c>
      <c r="AN23" s="19">
        <f t="shared" si="9"/>
        <v>6.4516129032258063E-2</v>
      </c>
      <c r="AO23" s="19">
        <f t="shared" si="10"/>
        <v>0.55167034468922393</v>
      </c>
      <c r="AP23" s="19">
        <f t="shared" si="11"/>
        <v>1.8126767364363885</v>
      </c>
      <c r="AQ23" s="19">
        <f t="shared" si="12"/>
        <v>0.26976114847743776</v>
      </c>
      <c r="AR23" s="19">
        <f t="shared" si="13"/>
        <v>0.55167034468922393</v>
      </c>
      <c r="AS23" s="20">
        <f t="shared" si="14"/>
        <v>1950.0668655265538</v>
      </c>
      <c r="AT23" s="20">
        <f t="shared" si="15"/>
        <v>2370.2992054018332</v>
      </c>
      <c r="AU23" s="19">
        <f t="shared" si="16"/>
        <v>1.2856775520699408E-2</v>
      </c>
      <c r="AV23" s="19">
        <f t="shared" si="17"/>
        <v>6.9830833504554463E-2</v>
      </c>
      <c r="AX23" s="1">
        <v>48.6</v>
      </c>
      <c r="AY23" s="1"/>
      <c r="AZ23" s="1">
        <v>1315</v>
      </c>
      <c r="BA23" s="1">
        <v>1140</v>
      </c>
      <c r="BB23" s="1">
        <v>33</v>
      </c>
      <c r="BC23" s="1">
        <v>388</v>
      </c>
      <c r="BD23" s="1">
        <v>361</v>
      </c>
      <c r="BE23" s="1">
        <v>68</v>
      </c>
      <c r="BF23" s="1"/>
      <c r="BG23" s="1">
        <v>103</v>
      </c>
      <c r="BH23" s="1">
        <v>84</v>
      </c>
      <c r="BI23" s="1">
        <v>17</v>
      </c>
      <c r="BJ23" s="1">
        <v>254</v>
      </c>
      <c r="BK23" s="1">
        <v>90</v>
      </c>
      <c r="BL23" s="1">
        <v>12.3</v>
      </c>
      <c r="BM23" s="1">
        <v>9.48</v>
      </c>
      <c r="BN23" s="1">
        <v>65</v>
      </c>
      <c r="BO23" s="1">
        <v>114</v>
      </c>
      <c r="BP23" s="1">
        <v>887</v>
      </c>
      <c r="BQ23" s="1">
        <v>96.5</v>
      </c>
      <c r="BR23" s="1">
        <v>15.6</v>
      </c>
      <c r="BS23" s="1">
        <v>4.26</v>
      </c>
      <c r="BT23" s="1">
        <v>11.4</v>
      </c>
      <c r="BU23" s="1">
        <v>1.39</v>
      </c>
      <c r="BV23" s="1">
        <v>7.16</v>
      </c>
      <c r="BW23" s="1"/>
      <c r="BX23" s="1">
        <v>2.94</v>
      </c>
      <c r="BY23" s="1"/>
      <c r="BZ23" s="1">
        <v>2.2999999999999998</v>
      </c>
      <c r="CA23" s="1">
        <v>0.31</v>
      </c>
      <c r="CB23" s="1"/>
      <c r="CC23" s="1">
        <v>10.3</v>
      </c>
      <c r="CD23" s="1">
        <v>1.6</v>
      </c>
      <c r="CE23" s="1">
        <v>15.6</v>
      </c>
      <c r="CG23" s="22">
        <f t="shared" si="18"/>
        <v>268.59504132231405</v>
      </c>
      <c r="CH23" s="22">
        <f t="shared" si="64"/>
        <v>179.5275590551181</v>
      </c>
      <c r="CI23" s="22">
        <f t="shared" si="80"/>
        <v>9210.7995846313606</v>
      </c>
      <c r="CJ23" s="22">
        <f t="shared" si="81"/>
        <v>201.04166666666669</v>
      </c>
      <c r="CK23" s="22">
        <f t="shared" si="82"/>
        <v>100</v>
      </c>
      <c r="CL23" s="22">
        <v>53.059100000000001</v>
      </c>
      <c r="CM23" s="22">
        <f t="shared" si="83"/>
        <v>53.773584905660378</v>
      </c>
      <c r="CN23" s="22">
        <f t="shared" si="84"/>
        <v>36.968085106382972</v>
      </c>
      <c r="CO23" s="22">
        <f t="shared" si="85"/>
        <v>27.644787644787645</v>
      </c>
      <c r="CP23" s="22">
        <f t="shared" si="86"/>
        <v>0</v>
      </c>
      <c r="CQ23" s="22">
        <f t="shared" si="87"/>
        <v>18.036809815950921</v>
      </c>
      <c r="CR23" s="22">
        <f t="shared" si="88"/>
        <v>0</v>
      </c>
      <c r="CS23" s="22">
        <f t="shared" si="26"/>
        <v>13.855421686746986</v>
      </c>
      <c r="CT23" s="22">
        <f t="shared" si="71"/>
        <v>12.399999999999999</v>
      </c>
      <c r="CU23" s="22">
        <f t="shared" si="59"/>
        <v>14.611111111111111</v>
      </c>
      <c r="CV23" s="22">
        <f t="shared" si="28"/>
        <v>20.23076923076923</v>
      </c>
      <c r="CW23" s="22">
        <f t="shared" si="60"/>
        <v>0.72222222222222221</v>
      </c>
      <c r="CX23" s="20">
        <f t="shared" si="61"/>
        <v>251.79</v>
      </c>
      <c r="CY23" s="22"/>
      <c r="CZ23" s="22"/>
      <c r="DA23" s="22"/>
      <c r="DB23" s="22">
        <f t="shared" si="62"/>
        <v>2.8222222222222224</v>
      </c>
      <c r="DC23" s="22">
        <f t="shared" si="89"/>
        <v>127.66990291262135</v>
      </c>
      <c r="DD23" s="22"/>
      <c r="DE23" s="22"/>
      <c r="DF23" s="22"/>
      <c r="DG23" s="19">
        <f t="shared" si="31"/>
        <v>5.2941176470588234</v>
      </c>
      <c r="DH23" s="20">
        <f t="shared" si="32"/>
        <v>63.861538461538458</v>
      </c>
      <c r="DI23" s="19"/>
      <c r="DJ23" s="22"/>
      <c r="DK23" s="22"/>
      <c r="DL23" s="22"/>
      <c r="DM23" s="22">
        <f t="shared" si="36"/>
        <v>28.260869565217394</v>
      </c>
      <c r="DN23" s="22">
        <f>BL23/BQ23</f>
        <v>0.12746113989637306</v>
      </c>
      <c r="DO23" s="22">
        <f t="shared" si="38"/>
        <v>6.7826086956521747</v>
      </c>
      <c r="DP23" s="20"/>
      <c r="DQ23" s="22"/>
      <c r="DR23" s="22"/>
      <c r="DS23" s="19"/>
      <c r="DT23" s="23"/>
      <c r="DU23" s="22">
        <f t="shared" si="44"/>
        <v>14.941176470588236</v>
      </c>
      <c r="DV23" s="22"/>
      <c r="DW23" s="22">
        <f t="shared" si="63"/>
        <v>0.20897478119705593</v>
      </c>
      <c r="DX23" s="22">
        <f t="shared" si="45"/>
        <v>35.433070866141733</v>
      </c>
      <c r="DY23" s="22">
        <f t="shared" si="46"/>
        <v>4.0551181102362204</v>
      </c>
      <c r="DZ23" s="19"/>
      <c r="EA23" s="23"/>
      <c r="EB23" s="19">
        <f t="shared" si="90"/>
        <v>0.11444444444444445</v>
      </c>
      <c r="EC23" s="19"/>
      <c r="ED23" s="19"/>
      <c r="EE23" s="19">
        <f t="shared" si="48"/>
        <v>40.584144529228098</v>
      </c>
      <c r="EF23" s="19">
        <f t="shared" si="49"/>
        <v>3.9446661434940142</v>
      </c>
      <c r="EG23" s="19">
        <f t="shared" si="50"/>
        <v>8.0876091566345529</v>
      </c>
      <c r="EH23" s="19">
        <f t="shared" si="51"/>
        <v>13.718254829607123</v>
      </c>
      <c r="EI23" s="19">
        <f t="shared" si="52"/>
        <v>0.20871249436476266</v>
      </c>
      <c r="EJ23" s="19">
        <f t="shared" si="53"/>
        <v>15.903892070594916</v>
      </c>
      <c r="EK23" s="19">
        <f t="shared" si="54"/>
        <v>14.035915246030289</v>
      </c>
      <c r="EL23" s="19">
        <f t="shared" si="55"/>
        <v>2.3688868110400563</v>
      </c>
      <c r="EM23" s="19">
        <f t="shared" si="56"/>
        <v>0.52178123591190662</v>
      </c>
      <c r="EN23" s="19">
        <f t="shared" si="57"/>
        <v>0.62613748309428796</v>
      </c>
      <c r="EO23" s="19">
        <f t="shared" si="58"/>
        <v>99.999999999999986</v>
      </c>
    </row>
    <row r="24" spans="1:145" s="18" customFormat="1">
      <c r="A24" s="1" t="s">
        <v>231</v>
      </c>
      <c r="B24" s="1">
        <v>4</v>
      </c>
      <c r="C24" s="1" t="s">
        <v>254</v>
      </c>
      <c r="D24" s="1" t="s">
        <v>244</v>
      </c>
      <c r="F24" s="1" t="s">
        <v>255</v>
      </c>
      <c r="G24" s="1">
        <v>39.68</v>
      </c>
      <c r="H24" s="1">
        <v>3.55</v>
      </c>
      <c r="I24" s="1">
        <v>8.08</v>
      </c>
      <c r="J24" s="1">
        <v>13.033000000000001</v>
      </c>
      <c r="K24" s="1">
        <v>0.2</v>
      </c>
      <c r="L24" s="1">
        <v>13.62</v>
      </c>
      <c r="M24" s="1">
        <v>15.53</v>
      </c>
      <c r="N24" s="1">
        <v>1.53</v>
      </c>
      <c r="O24" s="1">
        <v>0.83</v>
      </c>
      <c r="P24" s="1">
        <v>0.62</v>
      </c>
      <c r="Q24" s="1">
        <v>3.72</v>
      </c>
      <c r="R24" s="15"/>
      <c r="S24" s="15">
        <f t="shared" si="0"/>
        <v>96.673000000000002</v>
      </c>
      <c r="T24" s="16"/>
      <c r="U24" s="1">
        <v>0.70487</v>
      </c>
      <c r="V24" s="1">
        <v>0.51244299999999998</v>
      </c>
      <c r="AF24" s="19">
        <f t="shared" si="1"/>
        <v>0.70891853158018314</v>
      </c>
      <c r="AG24" s="20">
        <f t="shared" si="2"/>
        <v>21282.25</v>
      </c>
      <c r="AH24" s="20">
        <f t="shared" si="3"/>
        <v>6890.66</v>
      </c>
      <c r="AI24" s="20">
        <f t="shared" si="4"/>
        <v>2705.68</v>
      </c>
      <c r="AJ24" s="19">
        <f t="shared" si="5"/>
        <v>2.36</v>
      </c>
      <c r="AK24" s="19">
        <f t="shared" si="6"/>
        <v>0.54248366013071891</v>
      </c>
      <c r="AL24" s="19">
        <f t="shared" si="7"/>
        <v>1.8433734939759037</v>
      </c>
      <c r="AM24" s="19">
        <f t="shared" si="8"/>
        <v>1.9220297029702971</v>
      </c>
      <c r="AN24" s="19">
        <f t="shared" si="9"/>
        <v>0.10272277227722772</v>
      </c>
      <c r="AO24" s="19">
        <f t="shared" si="10"/>
        <v>0.42268505701051967</v>
      </c>
      <c r="AP24" s="19">
        <f t="shared" si="11"/>
        <v>2.3658276615515943</v>
      </c>
      <c r="AQ24" s="19">
        <f t="shared" si="12"/>
        <v>0.25528700094563028</v>
      </c>
      <c r="AR24" s="19">
        <f t="shared" si="13"/>
        <v>0.42268505701051967</v>
      </c>
      <c r="AS24" s="20">
        <f t="shared" si="14"/>
        <v>2090.7875618234425</v>
      </c>
      <c r="AT24" s="20">
        <f t="shared" si="15"/>
        <v>2499.9040125672209</v>
      </c>
      <c r="AU24" s="19">
        <f t="shared" si="16"/>
        <v>2.0917338709677418E-2</v>
      </c>
      <c r="AV24" s="19">
        <f t="shared" si="17"/>
        <v>0.11118486052426897</v>
      </c>
      <c r="AX24" s="1">
        <v>33</v>
      </c>
      <c r="AY24" s="1"/>
      <c r="AZ24" s="1">
        <v>1420</v>
      </c>
      <c r="BA24" s="1">
        <v>772</v>
      </c>
      <c r="BB24" s="1">
        <v>43</v>
      </c>
      <c r="BC24" s="1">
        <v>355</v>
      </c>
      <c r="BD24" s="1">
        <v>295</v>
      </c>
      <c r="BE24" s="1">
        <v>62</v>
      </c>
      <c r="BF24" s="1"/>
      <c r="BG24" s="1">
        <v>85</v>
      </c>
      <c r="BH24" s="1">
        <v>76</v>
      </c>
      <c r="BI24" s="1">
        <v>17.2</v>
      </c>
      <c r="BJ24" s="1">
        <v>243</v>
      </c>
      <c r="BK24" s="1">
        <v>70</v>
      </c>
      <c r="BL24" s="1"/>
      <c r="BM24" s="1"/>
      <c r="BN24" s="1">
        <v>64</v>
      </c>
      <c r="BO24" s="1">
        <v>140</v>
      </c>
      <c r="BP24" s="1">
        <v>1020</v>
      </c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>
        <v>8.1999999999999993</v>
      </c>
      <c r="CD24" s="1">
        <v>2.2999999999999998</v>
      </c>
      <c r="CE24" s="1">
        <v>12.6</v>
      </c>
      <c r="CG24" s="22">
        <f t="shared" si="18"/>
        <v>264.4628099173554</v>
      </c>
      <c r="CH24" s="22">
        <f t="shared" si="64"/>
        <v>220.4724409448819</v>
      </c>
      <c r="CI24" s="22">
        <f t="shared" si="80"/>
        <v>10591.90031152648</v>
      </c>
      <c r="CJ24" s="22">
        <f t="shared" si="81"/>
        <v>0</v>
      </c>
      <c r="CK24" s="22">
        <f t="shared" si="82"/>
        <v>0</v>
      </c>
      <c r="CL24" s="22">
        <v>54.059100000000001</v>
      </c>
      <c r="CM24" s="22">
        <f t="shared" si="83"/>
        <v>0</v>
      </c>
      <c r="CN24" s="22">
        <f t="shared" si="84"/>
        <v>0</v>
      </c>
      <c r="CO24" s="22">
        <f t="shared" si="85"/>
        <v>0</v>
      </c>
      <c r="CP24" s="22">
        <f t="shared" si="86"/>
        <v>0</v>
      </c>
      <c r="CQ24" s="22">
        <f t="shared" si="87"/>
        <v>0</v>
      </c>
      <c r="CR24" s="22">
        <f t="shared" si="88"/>
        <v>0</v>
      </c>
      <c r="CS24" s="22">
        <f t="shared" si="26"/>
        <v>0</v>
      </c>
      <c r="CT24" s="22">
        <f t="shared" si="71"/>
        <v>0</v>
      </c>
      <c r="CU24" s="22">
        <f t="shared" si="59"/>
        <v>20.285714285714285</v>
      </c>
      <c r="CV24" s="22">
        <f t="shared" si="28"/>
        <v>22.1875</v>
      </c>
      <c r="CW24" s="22">
        <f t="shared" si="60"/>
        <v>0.91428571428571426</v>
      </c>
      <c r="CX24" s="20">
        <f t="shared" si="61"/>
        <v>304.03214285714284</v>
      </c>
      <c r="CY24" s="22"/>
      <c r="CZ24" s="22"/>
      <c r="DA24" s="22"/>
      <c r="DB24" s="22">
        <f t="shared" si="62"/>
        <v>3.4714285714285715</v>
      </c>
      <c r="DC24" s="22">
        <f t="shared" si="89"/>
        <v>173.17073170731709</v>
      </c>
      <c r="DD24" s="22"/>
      <c r="DE24" s="22"/>
      <c r="DF24" s="22"/>
      <c r="DG24" s="19">
        <f t="shared" si="31"/>
        <v>4.0697674418604652</v>
      </c>
      <c r="DH24" s="20">
        <f t="shared" si="32"/>
        <v>107.6665625</v>
      </c>
      <c r="DI24" s="19"/>
      <c r="DJ24" s="22"/>
      <c r="DK24" s="22"/>
      <c r="DL24" s="22"/>
      <c r="DM24" s="22"/>
      <c r="DN24" s="22"/>
      <c r="DO24" s="22"/>
      <c r="DP24" s="20"/>
      <c r="DQ24" s="22"/>
      <c r="DR24" s="22"/>
      <c r="DS24" s="19"/>
      <c r="DT24" s="23"/>
      <c r="DU24" s="22">
        <f t="shared" si="44"/>
        <v>14.127906976744187</v>
      </c>
      <c r="DV24" s="22"/>
      <c r="DW24" s="22">
        <f t="shared" si="63"/>
        <v>0.14142016586044281</v>
      </c>
      <c r="DX24" s="22">
        <f t="shared" si="45"/>
        <v>28.806584362139919</v>
      </c>
      <c r="DY24" s="22">
        <f t="shared" si="46"/>
        <v>3.3744855967078187</v>
      </c>
      <c r="DZ24" s="19"/>
      <c r="EA24" s="23"/>
      <c r="EB24" s="19">
        <f t="shared" si="90"/>
        <v>0.11714285714285713</v>
      </c>
      <c r="EC24" s="19"/>
      <c r="ED24" s="19"/>
      <c r="EE24" s="19">
        <f t="shared" si="48"/>
        <v>41.045586668459649</v>
      </c>
      <c r="EF24" s="19">
        <f t="shared" si="49"/>
        <v>3.6721732024453568</v>
      </c>
      <c r="EG24" s="19">
        <f t="shared" si="50"/>
        <v>8.3580730917629538</v>
      </c>
      <c r="EH24" s="19">
        <f t="shared" si="51"/>
        <v>13.481530520414182</v>
      </c>
      <c r="EI24" s="19">
        <f t="shared" si="52"/>
        <v>0.20688299732086518</v>
      </c>
      <c r="EJ24" s="19">
        <f t="shared" si="53"/>
        <v>14.088732117550919</v>
      </c>
      <c r="EK24" s="19">
        <f t="shared" si="54"/>
        <v>16.064464741965182</v>
      </c>
      <c r="EL24" s="19">
        <f t="shared" si="55"/>
        <v>1.5826549295046186</v>
      </c>
      <c r="EM24" s="19">
        <f t="shared" si="56"/>
        <v>0.85856443888159051</v>
      </c>
      <c r="EN24" s="19">
        <f t="shared" si="57"/>
        <v>0.64133729169468201</v>
      </c>
      <c r="EO24" s="19">
        <f t="shared" si="58"/>
        <v>99.999999999999986</v>
      </c>
    </row>
    <row r="25" spans="1:145" s="18" customFormat="1">
      <c r="A25" s="1" t="s">
        <v>231</v>
      </c>
      <c r="B25" s="1">
        <v>4</v>
      </c>
      <c r="C25" s="1" t="s">
        <v>254</v>
      </c>
      <c r="D25" s="1" t="s">
        <v>244</v>
      </c>
      <c r="F25" s="1" t="s">
        <v>255</v>
      </c>
      <c r="G25" s="1">
        <v>40.67</v>
      </c>
      <c r="H25" s="1">
        <v>4.22</v>
      </c>
      <c r="I25" s="1">
        <v>11.63</v>
      </c>
      <c r="J25" s="1">
        <v>14.125900000000001</v>
      </c>
      <c r="K25" s="1">
        <v>0.23</v>
      </c>
      <c r="L25" s="1">
        <v>5.43</v>
      </c>
      <c r="M25" s="1">
        <v>13.02</v>
      </c>
      <c r="N25" s="1">
        <v>2.36</v>
      </c>
      <c r="O25" s="1">
        <v>1.85</v>
      </c>
      <c r="P25" s="1">
        <v>0.97</v>
      </c>
      <c r="Q25" s="1">
        <v>5.51</v>
      </c>
      <c r="R25" s="15"/>
      <c r="S25" s="15">
        <f t="shared" si="0"/>
        <v>94.505899999999997</v>
      </c>
      <c r="T25" s="16"/>
      <c r="U25" s="1">
        <v>0.70514500000000002</v>
      </c>
      <c r="V25" s="1">
        <v>0.51248099999999996</v>
      </c>
      <c r="AF25" s="19">
        <f t="shared" si="1"/>
        <v>0.47253065409751133</v>
      </c>
      <c r="AG25" s="20">
        <f t="shared" si="2"/>
        <v>25298.899999999998</v>
      </c>
      <c r="AH25" s="20">
        <f t="shared" si="3"/>
        <v>15358.7</v>
      </c>
      <c r="AI25" s="20">
        <f t="shared" si="4"/>
        <v>4233.08</v>
      </c>
      <c r="AJ25" s="19">
        <f t="shared" si="5"/>
        <v>4.21</v>
      </c>
      <c r="AK25" s="19">
        <f t="shared" si="6"/>
        <v>0.78389830508474589</v>
      </c>
      <c r="AL25" s="19">
        <f t="shared" si="7"/>
        <v>1.2756756756756755</v>
      </c>
      <c r="AM25" s="19">
        <f t="shared" si="8"/>
        <v>1.1195184866723988</v>
      </c>
      <c r="AN25" s="19">
        <f t="shared" si="9"/>
        <v>0.15907136715391229</v>
      </c>
      <c r="AO25" s="19">
        <f t="shared" si="10"/>
        <v>0.50599394440757561</v>
      </c>
      <c r="AP25" s="19">
        <f t="shared" si="11"/>
        <v>1.9763082365952289</v>
      </c>
      <c r="AQ25" s="19">
        <f t="shared" si="12"/>
        <v>0.39348243413216089</v>
      </c>
      <c r="AR25" s="19">
        <f t="shared" si="13"/>
        <v>0.50599394440757561</v>
      </c>
      <c r="AS25" s="20">
        <f t="shared" si="14"/>
        <v>1894.3370530421978</v>
      </c>
      <c r="AT25" s="20">
        <f t="shared" si="15"/>
        <v>1879.833145739794</v>
      </c>
      <c r="AU25" s="19">
        <f t="shared" si="16"/>
        <v>4.548807474797148E-2</v>
      </c>
      <c r="AV25" s="19">
        <f t="shared" si="17"/>
        <v>0.17217533540353391</v>
      </c>
      <c r="AX25" s="1">
        <v>102</v>
      </c>
      <c r="AY25" s="1"/>
      <c r="AZ25" s="1">
        <v>1690</v>
      </c>
      <c r="BA25" s="1">
        <v>56</v>
      </c>
      <c r="BB25" s="1">
        <v>22</v>
      </c>
      <c r="BC25" s="1">
        <v>552</v>
      </c>
      <c r="BD25" s="1">
        <v>56</v>
      </c>
      <c r="BE25" s="1">
        <v>44</v>
      </c>
      <c r="BF25" s="1"/>
      <c r="BG25" s="1">
        <v>144</v>
      </c>
      <c r="BH25" s="1">
        <v>106</v>
      </c>
      <c r="BI25" s="1">
        <v>28.5</v>
      </c>
      <c r="BJ25" s="1">
        <v>387</v>
      </c>
      <c r="BK25" s="1">
        <v>121</v>
      </c>
      <c r="BL25" s="1"/>
      <c r="BM25" s="1"/>
      <c r="BN25" s="1">
        <v>108</v>
      </c>
      <c r="BO25" s="1">
        <v>214</v>
      </c>
      <c r="BP25" s="1">
        <v>1395</v>
      </c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>
        <v>13</v>
      </c>
      <c r="CD25" s="1">
        <v>2.5</v>
      </c>
      <c r="CE25" s="1">
        <v>15.6</v>
      </c>
      <c r="CG25" s="22">
        <f t="shared" si="18"/>
        <v>446.28099173553721</v>
      </c>
      <c r="CH25" s="22">
        <f t="shared" si="64"/>
        <v>337.00787401574803</v>
      </c>
      <c r="CI25" s="22">
        <f t="shared" si="80"/>
        <v>14485.981308411216</v>
      </c>
      <c r="CJ25" s="22">
        <f t="shared" si="81"/>
        <v>0</v>
      </c>
      <c r="CK25" s="22">
        <f t="shared" si="82"/>
        <v>0</v>
      </c>
      <c r="CL25" s="22">
        <v>55.059100000000001</v>
      </c>
      <c r="CM25" s="22">
        <f t="shared" si="83"/>
        <v>0</v>
      </c>
      <c r="CN25" s="22">
        <f t="shared" si="84"/>
        <v>0</v>
      </c>
      <c r="CO25" s="22">
        <f t="shared" si="85"/>
        <v>0</v>
      </c>
      <c r="CP25" s="22">
        <f t="shared" si="86"/>
        <v>0</v>
      </c>
      <c r="CQ25" s="22">
        <f t="shared" si="87"/>
        <v>0</v>
      </c>
      <c r="CR25" s="22">
        <f t="shared" si="88"/>
        <v>0</v>
      </c>
      <c r="CS25" s="22">
        <f t="shared" si="26"/>
        <v>0</v>
      </c>
      <c r="CT25" s="22">
        <f t="shared" si="71"/>
        <v>0</v>
      </c>
      <c r="CU25" s="22">
        <f t="shared" si="59"/>
        <v>13.96694214876033</v>
      </c>
      <c r="CV25" s="22">
        <f t="shared" si="28"/>
        <v>15.648148148148149</v>
      </c>
      <c r="CW25" s="22">
        <f t="shared" si="60"/>
        <v>0.8925619834710744</v>
      </c>
      <c r="CX25" s="20">
        <f t="shared" si="61"/>
        <v>209.08181818181816</v>
      </c>
      <c r="CY25" s="22"/>
      <c r="CZ25" s="22"/>
      <c r="DA25" s="22"/>
      <c r="DB25" s="22">
        <f t="shared" si="62"/>
        <v>3.1983471074380163</v>
      </c>
      <c r="DC25" s="22">
        <f t="shared" si="89"/>
        <v>130</v>
      </c>
      <c r="DD25" s="22"/>
      <c r="DE25" s="22"/>
      <c r="DF25" s="22"/>
      <c r="DG25" s="19">
        <f t="shared" si="31"/>
        <v>4.2456140350877192</v>
      </c>
      <c r="DH25" s="20">
        <f t="shared" si="32"/>
        <v>142.2101851851852</v>
      </c>
      <c r="DI25" s="19"/>
      <c r="DJ25" s="22"/>
      <c r="DK25" s="22"/>
      <c r="DL25" s="22"/>
      <c r="DM25" s="22"/>
      <c r="DN25" s="22"/>
      <c r="DO25" s="22"/>
      <c r="DP25" s="20"/>
      <c r="DQ25" s="22"/>
      <c r="DR25" s="22"/>
      <c r="DS25" s="19"/>
      <c r="DT25" s="23"/>
      <c r="DU25" s="22">
        <f t="shared" si="44"/>
        <v>13.578947368421053</v>
      </c>
      <c r="DV25" s="22"/>
      <c r="DW25" s="22">
        <f t="shared" si="63"/>
        <v>0.19283758868796985</v>
      </c>
      <c r="DX25" s="22">
        <f t="shared" si="45"/>
        <v>31.266149870801033</v>
      </c>
      <c r="DY25" s="22">
        <f t="shared" si="46"/>
        <v>3.3591731266149871</v>
      </c>
      <c r="DZ25" s="19"/>
      <c r="EA25" s="23"/>
      <c r="EB25" s="19">
        <f t="shared" si="90"/>
        <v>0.10743801652892562</v>
      </c>
      <c r="EC25" s="19"/>
      <c r="ED25" s="19"/>
      <c r="EE25" s="19">
        <f t="shared" si="48"/>
        <v>43.034350236334454</v>
      </c>
      <c r="EF25" s="19">
        <f t="shared" si="49"/>
        <v>4.4653296778296383</v>
      </c>
      <c r="EG25" s="19">
        <f t="shared" si="50"/>
        <v>12.306109988900165</v>
      </c>
      <c r="EH25" s="19">
        <f t="shared" si="51"/>
        <v>14.947109122287605</v>
      </c>
      <c r="EI25" s="19">
        <f t="shared" si="52"/>
        <v>0.24337104879166274</v>
      </c>
      <c r="EJ25" s="19">
        <f t="shared" si="53"/>
        <v>5.7456730214727338</v>
      </c>
      <c r="EK25" s="19">
        <f t="shared" si="54"/>
        <v>13.776917631597604</v>
      </c>
      <c r="EL25" s="19">
        <f t="shared" si="55"/>
        <v>2.4971985876014089</v>
      </c>
      <c r="EM25" s="19">
        <f t="shared" si="56"/>
        <v>1.9575497402807656</v>
      </c>
      <c r="EN25" s="19">
        <f t="shared" si="57"/>
        <v>1.026390944903969</v>
      </c>
      <c r="EO25" s="19">
        <f t="shared" si="58"/>
        <v>99.999999999999986</v>
      </c>
    </row>
    <row r="26" spans="1:145" s="18" customFormat="1">
      <c r="A26" s="1" t="s">
        <v>231</v>
      </c>
      <c r="B26" s="1">
        <v>4</v>
      </c>
      <c r="C26" s="1" t="s">
        <v>254</v>
      </c>
      <c r="D26" s="1" t="s">
        <v>244</v>
      </c>
      <c r="F26" s="1" t="s">
        <v>255</v>
      </c>
      <c r="G26" s="1">
        <v>42.25</v>
      </c>
      <c r="H26" s="1">
        <v>3.18</v>
      </c>
      <c r="I26" s="1">
        <v>10.210000000000001</v>
      </c>
      <c r="J26" s="1">
        <v>12.397300000000001</v>
      </c>
      <c r="K26" s="1">
        <v>0.2</v>
      </c>
      <c r="L26" s="1">
        <v>8.17</v>
      </c>
      <c r="M26" s="1">
        <v>14.05</v>
      </c>
      <c r="N26" s="1">
        <v>2.76</v>
      </c>
      <c r="O26" s="1">
        <v>0.9</v>
      </c>
      <c r="P26" s="1">
        <v>0.86</v>
      </c>
      <c r="Q26" s="1">
        <v>4.88</v>
      </c>
      <c r="R26" s="15"/>
      <c r="S26" s="15">
        <f t="shared" si="0"/>
        <v>94.977300000000014</v>
      </c>
      <c r="T26" s="16"/>
      <c r="U26" s="1">
        <v>0.70648</v>
      </c>
      <c r="V26" s="1">
        <v>0.512382</v>
      </c>
      <c r="AF26" s="19">
        <f t="shared" si="1"/>
        <v>0.60565227081178996</v>
      </c>
      <c r="AG26" s="20">
        <f t="shared" si="2"/>
        <v>19064.100000000002</v>
      </c>
      <c r="AH26" s="20">
        <f t="shared" si="3"/>
        <v>7471.8</v>
      </c>
      <c r="AI26" s="20">
        <f t="shared" si="4"/>
        <v>3753.04</v>
      </c>
      <c r="AJ26" s="19">
        <f t="shared" si="5"/>
        <v>3.6599999999999997</v>
      </c>
      <c r="AK26" s="19">
        <f t="shared" si="6"/>
        <v>0.32608695652173919</v>
      </c>
      <c r="AL26" s="19">
        <f t="shared" si="7"/>
        <v>3.0666666666666664</v>
      </c>
      <c r="AM26" s="19">
        <f t="shared" si="8"/>
        <v>1.3761018609206659</v>
      </c>
      <c r="AN26" s="19">
        <f t="shared" si="9"/>
        <v>8.8148873653281098E-2</v>
      </c>
      <c r="AO26" s="19">
        <f t="shared" si="10"/>
        <v>0.54010472730854908</v>
      </c>
      <c r="AP26" s="19">
        <f t="shared" si="11"/>
        <v>1.8514927743424907</v>
      </c>
      <c r="AQ26" s="19">
        <f t="shared" si="12"/>
        <v>0.32872905761472676</v>
      </c>
      <c r="AR26" s="19">
        <f t="shared" si="13"/>
        <v>0.54010472730854908</v>
      </c>
      <c r="AS26" s="20">
        <f t="shared" si="14"/>
        <v>2087.9606621020516</v>
      </c>
      <c r="AT26" s="20">
        <f t="shared" si="15"/>
        <v>2115.0380840984626</v>
      </c>
      <c r="AU26" s="19">
        <f t="shared" si="16"/>
        <v>2.1301775147928994E-2</v>
      </c>
      <c r="AV26" s="19">
        <f t="shared" si="17"/>
        <v>9.5410394455292355E-2</v>
      </c>
      <c r="AX26" s="1">
        <v>124</v>
      </c>
      <c r="AY26" s="1"/>
      <c r="AZ26" s="1">
        <v>2970</v>
      </c>
      <c r="BA26" s="1">
        <v>240</v>
      </c>
      <c r="BB26" s="1">
        <v>27</v>
      </c>
      <c r="BC26" s="1">
        <v>359</v>
      </c>
      <c r="BD26" s="1">
        <v>63</v>
      </c>
      <c r="BE26" s="1">
        <v>46</v>
      </c>
      <c r="BF26" s="1"/>
      <c r="BG26" s="1">
        <v>55</v>
      </c>
      <c r="BH26" s="1">
        <v>91</v>
      </c>
      <c r="BI26" s="1">
        <v>23.5</v>
      </c>
      <c r="BJ26" s="1">
        <v>322</v>
      </c>
      <c r="BK26" s="1">
        <v>111</v>
      </c>
      <c r="BL26" s="1"/>
      <c r="BM26" s="1"/>
      <c r="BN26" s="1">
        <v>123</v>
      </c>
      <c r="BO26" s="1">
        <v>249</v>
      </c>
      <c r="BP26" s="1">
        <v>2305</v>
      </c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>
        <v>13.9</v>
      </c>
      <c r="CD26" s="1">
        <v>1.2</v>
      </c>
      <c r="CE26" s="1">
        <v>14.8</v>
      </c>
      <c r="CG26" s="22">
        <f t="shared" si="18"/>
        <v>508.26446280991735</v>
      </c>
      <c r="CH26" s="22">
        <f t="shared" si="64"/>
        <v>392.12598425196848</v>
      </c>
      <c r="CI26" s="22">
        <f t="shared" si="80"/>
        <v>23935.617860851507</v>
      </c>
      <c r="CJ26" s="22">
        <f t="shared" si="81"/>
        <v>0</v>
      </c>
      <c r="CK26" s="22">
        <f t="shared" si="82"/>
        <v>0</v>
      </c>
      <c r="CL26" s="22">
        <v>56.059100000000001</v>
      </c>
      <c r="CM26" s="22">
        <f t="shared" si="83"/>
        <v>0</v>
      </c>
      <c r="CN26" s="22">
        <f t="shared" si="84"/>
        <v>0</v>
      </c>
      <c r="CO26" s="22">
        <f t="shared" si="85"/>
        <v>0</v>
      </c>
      <c r="CP26" s="22">
        <f t="shared" si="86"/>
        <v>0</v>
      </c>
      <c r="CQ26" s="22">
        <f t="shared" si="87"/>
        <v>0</v>
      </c>
      <c r="CR26" s="22">
        <f t="shared" si="88"/>
        <v>0</v>
      </c>
      <c r="CS26" s="22">
        <f t="shared" si="26"/>
        <v>0</v>
      </c>
      <c r="CT26" s="22">
        <f t="shared" si="71"/>
        <v>0</v>
      </c>
      <c r="CU26" s="22">
        <f t="shared" si="59"/>
        <v>26.756756756756758</v>
      </c>
      <c r="CV26" s="22">
        <f t="shared" si="28"/>
        <v>24.146341463414632</v>
      </c>
      <c r="CW26" s="22">
        <f t="shared" si="60"/>
        <v>1.1081081081081081</v>
      </c>
      <c r="CX26" s="20">
        <f t="shared" si="61"/>
        <v>171.74864864864867</v>
      </c>
      <c r="CY26" s="22"/>
      <c r="CZ26" s="22"/>
      <c r="DA26" s="22"/>
      <c r="DB26" s="22">
        <f t="shared" si="62"/>
        <v>2.900900900900901</v>
      </c>
      <c r="DC26" s="22">
        <f t="shared" si="89"/>
        <v>213.66906474820144</v>
      </c>
      <c r="DD26" s="22"/>
      <c r="DE26" s="22"/>
      <c r="DF26" s="22"/>
      <c r="DG26" s="19">
        <f t="shared" si="31"/>
        <v>4.7234042553191493</v>
      </c>
      <c r="DH26" s="20">
        <f t="shared" si="32"/>
        <v>60.746341463414637</v>
      </c>
      <c r="DI26" s="19"/>
      <c r="DJ26" s="22"/>
      <c r="DK26" s="22"/>
      <c r="DL26" s="22"/>
      <c r="DM26" s="22"/>
      <c r="DN26" s="22"/>
      <c r="DO26" s="22"/>
      <c r="DP26" s="20"/>
      <c r="DQ26" s="22"/>
      <c r="DR26" s="22"/>
      <c r="DS26" s="19"/>
      <c r="DT26" s="23"/>
      <c r="DU26" s="22">
        <f t="shared" si="44"/>
        <v>13.702127659574469</v>
      </c>
      <c r="DV26" s="22"/>
      <c r="DW26" s="22">
        <f t="shared" si="63"/>
        <v>0.23162213842065915</v>
      </c>
      <c r="DX26" s="22">
        <f t="shared" si="45"/>
        <v>34.472049689440993</v>
      </c>
      <c r="DY26" s="22">
        <f t="shared" si="46"/>
        <v>4.316770186335404</v>
      </c>
      <c r="DZ26" s="19"/>
      <c r="EA26" s="23"/>
      <c r="EB26" s="19">
        <f t="shared" si="90"/>
        <v>0.12522522522522522</v>
      </c>
      <c r="EC26" s="19"/>
      <c r="ED26" s="19"/>
      <c r="EE26" s="19">
        <f t="shared" si="48"/>
        <v>44.484313620201874</v>
      </c>
      <c r="EF26" s="19">
        <f t="shared" si="49"/>
        <v>3.3481684570944843</v>
      </c>
      <c r="EG26" s="19">
        <f t="shared" si="50"/>
        <v>10.749937090231034</v>
      </c>
      <c r="EH26" s="19">
        <f t="shared" si="51"/>
        <v>13.05290843180423</v>
      </c>
      <c r="EI26" s="19">
        <f t="shared" si="52"/>
        <v>0.21057663252166567</v>
      </c>
      <c r="EJ26" s="19">
        <f t="shared" si="53"/>
        <v>8.6020554385100425</v>
      </c>
      <c r="EK26" s="19">
        <f t="shared" si="54"/>
        <v>14.793008434647014</v>
      </c>
      <c r="EL26" s="19">
        <f t="shared" si="55"/>
        <v>2.9059575287989863</v>
      </c>
      <c r="EM26" s="19">
        <f t="shared" si="56"/>
        <v>0.94759484634749558</v>
      </c>
      <c r="EN26" s="19">
        <f t="shared" si="57"/>
        <v>0.90547951984316244</v>
      </c>
      <c r="EO26" s="19">
        <f t="shared" si="58"/>
        <v>100.00000000000001</v>
      </c>
    </row>
    <row r="27" spans="1:145" s="18" customFormat="1">
      <c r="A27" s="1" t="s">
        <v>231</v>
      </c>
      <c r="B27" s="1">
        <v>4</v>
      </c>
      <c r="C27" s="1" t="s">
        <v>254</v>
      </c>
      <c r="D27" s="1" t="s">
        <v>244</v>
      </c>
      <c r="F27" s="1" t="s">
        <v>255</v>
      </c>
      <c r="G27" s="1">
        <v>38.549999999999997</v>
      </c>
      <c r="H27" s="1">
        <v>3.87</v>
      </c>
      <c r="I27" s="1">
        <v>7.48</v>
      </c>
      <c r="J27" s="1">
        <v>13.96</v>
      </c>
      <c r="K27" s="1">
        <v>0.19</v>
      </c>
      <c r="L27" s="1">
        <v>14.88</v>
      </c>
      <c r="M27" s="1">
        <v>13.73</v>
      </c>
      <c r="N27" s="1">
        <v>1.81</v>
      </c>
      <c r="O27" s="1">
        <v>0.56999999999999995</v>
      </c>
      <c r="P27" s="1">
        <v>0.52</v>
      </c>
      <c r="Q27" s="1">
        <v>4.24</v>
      </c>
      <c r="R27" s="15"/>
      <c r="S27" s="15">
        <f t="shared" si="0"/>
        <v>95.559999999999988</v>
      </c>
      <c r="T27" s="16"/>
      <c r="U27" s="1"/>
      <c r="V27" s="1"/>
      <c r="AF27" s="19">
        <f t="shared" si="1"/>
        <v>0.71298065274893785</v>
      </c>
      <c r="AG27" s="20">
        <f t="shared" si="2"/>
        <v>23200.65</v>
      </c>
      <c r="AH27" s="20">
        <f t="shared" si="3"/>
        <v>4732.1399999999994</v>
      </c>
      <c r="AI27" s="20">
        <f t="shared" si="4"/>
        <v>2269.2800000000002</v>
      </c>
      <c r="AJ27" s="19">
        <f t="shared" si="5"/>
        <v>2.38</v>
      </c>
      <c r="AK27" s="19">
        <f t="shared" si="6"/>
        <v>0.31491712707182318</v>
      </c>
      <c r="AL27" s="19">
        <f t="shared" si="7"/>
        <v>3.1754385964912286</v>
      </c>
      <c r="AM27" s="19">
        <f t="shared" si="8"/>
        <v>1.8355614973262031</v>
      </c>
      <c r="AN27" s="19">
        <f t="shared" si="9"/>
        <v>7.6203208556149718E-2</v>
      </c>
      <c r="AO27" s="19">
        <f t="shared" si="10"/>
        <v>0.48054680516336462</v>
      </c>
      <c r="AP27" s="19">
        <f t="shared" si="11"/>
        <v>2.0809627475518111</v>
      </c>
      <c r="AQ27" s="19">
        <f t="shared" si="12"/>
        <v>0.26193010951560597</v>
      </c>
      <c r="AR27" s="19">
        <f t="shared" si="13"/>
        <v>0.48054680516336462</v>
      </c>
      <c r="AS27" s="20">
        <f t="shared" si="14"/>
        <v>1995.6451508626822</v>
      </c>
      <c r="AT27" s="20">
        <f t="shared" si="15"/>
        <v>2386.7690844600224</v>
      </c>
      <c r="AU27" s="19">
        <f t="shared" si="16"/>
        <v>1.4785992217898832E-2</v>
      </c>
      <c r="AV27" s="19">
        <f t="shared" si="17"/>
        <v>8.2480670322558666E-2</v>
      </c>
      <c r="AX27" s="1">
        <v>66</v>
      </c>
      <c r="AY27" s="1"/>
      <c r="AZ27" s="1">
        <v>1434</v>
      </c>
      <c r="BA27" s="1">
        <v>1236</v>
      </c>
      <c r="BB27" s="1">
        <v>9</v>
      </c>
      <c r="BC27" s="1">
        <v>387</v>
      </c>
      <c r="BD27" s="1">
        <v>328</v>
      </c>
      <c r="BE27" s="1">
        <v>94</v>
      </c>
      <c r="BF27" s="1"/>
      <c r="BG27" s="1">
        <v>69</v>
      </c>
      <c r="BH27" s="1">
        <v>247</v>
      </c>
      <c r="BI27" s="1">
        <v>17.3</v>
      </c>
      <c r="BJ27" s="1">
        <v>298</v>
      </c>
      <c r="BK27" s="1">
        <v>109</v>
      </c>
      <c r="BL27" s="1"/>
      <c r="BM27" s="1"/>
      <c r="BN27" s="1">
        <v>80</v>
      </c>
      <c r="BO27" s="1">
        <v>160</v>
      </c>
      <c r="BP27" s="1">
        <v>1090</v>
      </c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>
        <v>9.59</v>
      </c>
      <c r="CD27" s="1">
        <v>2.2000000000000002</v>
      </c>
      <c r="CE27" s="1">
        <v>16.7</v>
      </c>
      <c r="CG27" s="22">
        <f t="shared" si="18"/>
        <v>330.57851239669424</v>
      </c>
      <c r="CH27" s="22">
        <f t="shared" si="64"/>
        <v>251.96850393700788</v>
      </c>
      <c r="CI27" s="22">
        <f t="shared" si="80"/>
        <v>11318.795430944963</v>
      </c>
      <c r="CJ27" s="22">
        <f t="shared" si="81"/>
        <v>0</v>
      </c>
      <c r="CK27" s="22">
        <f t="shared" si="82"/>
        <v>0</v>
      </c>
      <c r="CL27" s="22">
        <v>57.059100000000001</v>
      </c>
      <c r="CM27" s="22">
        <f t="shared" si="83"/>
        <v>0</v>
      </c>
      <c r="CN27" s="22">
        <f t="shared" si="84"/>
        <v>0</v>
      </c>
      <c r="CO27" s="22">
        <f t="shared" si="85"/>
        <v>0</v>
      </c>
      <c r="CP27" s="22">
        <f t="shared" si="86"/>
        <v>0</v>
      </c>
      <c r="CQ27" s="22">
        <f t="shared" si="87"/>
        <v>0</v>
      </c>
      <c r="CR27" s="22">
        <f t="shared" si="88"/>
        <v>0</v>
      </c>
      <c r="CS27" s="22">
        <f t="shared" si="26"/>
        <v>0</v>
      </c>
      <c r="CT27" s="22">
        <f t="shared" si="71"/>
        <v>0</v>
      </c>
      <c r="CU27" s="22">
        <f t="shared" si="59"/>
        <v>13.155963302752294</v>
      </c>
      <c r="CV27" s="22">
        <f t="shared" si="28"/>
        <v>17.925000000000001</v>
      </c>
      <c r="CW27" s="22">
        <f t="shared" si="60"/>
        <v>0.73394495412844041</v>
      </c>
      <c r="CX27" s="20">
        <f t="shared" si="61"/>
        <v>212.85000000000002</v>
      </c>
      <c r="CY27" s="22"/>
      <c r="CZ27" s="22"/>
      <c r="DA27" s="22"/>
      <c r="DB27" s="22">
        <f t="shared" si="62"/>
        <v>2.7339449541284404</v>
      </c>
      <c r="DC27" s="22">
        <f t="shared" si="89"/>
        <v>149.53076120959332</v>
      </c>
      <c r="DD27" s="22"/>
      <c r="DE27" s="22"/>
      <c r="DF27" s="22"/>
      <c r="DG27" s="19">
        <f t="shared" si="31"/>
        <v>6.300578034682081</v>
      </c>
      <c r="DH27" s="20">
        <f t="shared" si="32"/>
        <v>59.151749999999993</v>
      </c>
      <c r="DI27" s="19"/>
      <c r="DJ27" s="22"/>
      <c r="DK27" s="22"/>
      <c r="DL27" s="22"/>
      <c r="DM27" s="22"/>
      <c r="DN27" s="22"/>
      <c r="DO27" s="22"/>
      <c r="DP27" s="20"/>
      <c r="DQ27" s="22"/>
      <c r="DR27" s="22"/>
      <c r="DS27" s="19"/>
      <c r="DT27" s="23"/>
      <c r="DU27" s="22">
        <f t="shared" si="44"/>
        <v>17.22543352601156</v>
      </c>
      <c r="DV27" s="22"/>
      <c r="DW27" s="22">
        <f t="shared" si="63"/>
        <v>0.16593368579270518</v>
      </c>
      <c r="DX27" s="22">
        <f t="shared" si="45"/>
        <v>36.577181208053695</v>
      </c>
      <c r="DY27" s="22">
        <f t="shared" si="46"/>
        <v>3.2181208053691277</v>
      </c>
      <c r="DZ27" s="19"/>
      <c r="EA27" s="23"/>
      <c r="EB27" s="19">
        <f t="shared" si="90"/>
        <v>8.7981651376146788E-2</v>
      </c>
      <c r="EC27" s="19"/>
      <c r="ED27" s="19"/>
      <c r="EE27" s="19">
        <f t="shared" si="48"/>
        <v>40.34114692339891</v>
      </c>
      <c r="EF27" s="19">
        <f t="shared" si="49"/>
        <v>4.0498116366680623</v>
      </c>
      <c r="EG27" s="19">
        <f t="shared" si="50"/>
        <v>7.8275429049811649</v>
      </c>
      <c r="EH27" s="19">
        <f t="shared" si="51"/>
        <v>14.608622854750944</v>
      </c>
      <c r="EI27" s="19">
        <f t="shared" si="52"/>
        <v>0.19882796149016327</v>
      </c>
      <c r="EJ27" s="19">
        <f t="shared" si="53"/>
        <v>15.571368773545418</v>
      </c>
      <c r="EK27" s="19">
        <f t="shared" si="54"/>
        <v>14.367936375052325</v>
      </c>
      <c r="EL27" s="19">
        <f t="shared" si="55"/>
        <v>1.894097948932608</v>
      </c>
      <c r="EM27" s="19">
        <f t="shared" si="56"/>
        <v>0.59648388447048972</v>
      </c>
      <c r="EN27" s="19">
        <f t="shared" si="57"/>
        <v>0.54416073670992049</v>
      </c>
      <c r="EO27" s="19">
        <f t="shared" si="58"/>
        <v>100.00000000000001</v>
      </c>
    </row>
    <row r="28" spans="1:145" s="18" customFormat="1">
      <c r="A28" s="1" t="s">
        <v>231</v>
      </c>
      <c r="B28" s="1">
        <v>4</v>
      </c>
      <c r="C28" s="1" t="s">
        <v>254</v>
      </c>
      <c r="D28" s="1" t="s">
        <v>244</v>
      </c>
      <c r="F28" s="1" t="s">
        <v>255</v>
      </c>
      <c r="G28" s="1">
        <v>41.51</v>
      </c>
      <c r="H28" s="1">
        <v>3.34</v>
      </c>
      <c r="I28" s="1">
        <v>7.34</v>
      </c>
      <c r="J28" s="1">
        <v>11.28</v>
      </c>
      <c r="K28" s="1">
        <v>0.17</v>
      </c>
      <c r="L28" s="1">
        <v>13.58</v>
      </c>
      <c r="M28" s="1">
        <v>15.32</v>
      </c>
      <c r="N28" s="1">
        <v>1.31</v>
      </c>
      <c r="O28" s="1">
        <v>3.02</v>
      </c>
      <c r="P28" s="1">
        <v>0.6</v>
      </c>
      <c r="Q28" s="1">
        <v>1.8</v>
      </c>
      <c r="R28" s="15"/>
      <c r="S28" s="15">
        <f t="shared" si="0"/>
        <v>97.469999999999985</v>
      </c>
      <c r="T28" s="16"/>
      <c r="U28" s="1"/>
      <c r="V28" s="1"/>
      <c r="AF28" s="19">
        <f t="shared" si="1"/>
        <v>0.73723558087459151</v>
      </c>
      <c r="AG28" s="20">
        <f t="shared" si="2"/>
        <v>20023.3</v>
      </c>
      <c r="AH28" s="20">
        <f t="shared" si="3"/>
        <v>25072.04</v>
      </c>
      <c r="AI28" s="20">
        <f t="shared" si="4"/>
        <v>2618.4</v>
      </c>
      <c r="AJ28" s="19">
        <f t="shared" si="5"/>
        <v>4.33</v>
      </c>
      <c r="AK28" s="19">
        <f t="shared" si="6"/>
        <v>2.3053435114503817</v>
      </c>
      <c r="AL28" s="19">
        <f t="shared" si="7"/>
        <v>0.43377483443708609</v>
      </c>
      <c r="AM28" s="19">
        <f t="shared" si="8"/>
        <v>2.0871934604904632</v>
      </c>
      <c r="AN28" s="19">
        <f t="shared" si="9"/>
        <v>0.41144414168937332</v>
      </c>
      <c r="AO28" s="19">
        <f t="shared" si="10"/>
        <v>0.73893632293106137</v>
      </c>
      <c r="AP28" s="19">
        <f t="shared" si="11"/>
        <v>1.3532965818129019</v>
      </c>
      <c r="AQ28" s="19">
        <f t="shared" si="12"/>
        <v>0.22057048333783763</v>
      </c>
      <c r="AR28" s="19">
        <f t="shared" si="13"/>
        <v>0.73893632293106137</v>
      </c>
      <c r="AS28" s="20">
        <f t="shared" si="14"/>
        <v>2004.2993348709967</v>
      </c>
      <c r="AT28" s="20">
        <f t="shared" si="15"/>
        <v>2446.9287404066217</v>
      </c>
      <c r="AU28" s="19">
        <f t="shared" si="16"/>
        <v>7.2753553360635992E-2</v>
      </c>
      <c r="AV28" s="19">
        <f t="shared" si="17"/>
        <v>0.44533805399839171</v>
      </c>
      <c r="AX28" s="1">
        <v>137</v>
      </c>
      <c r="AY28" s="1"/>
      <c r="AZ28" s="1">
        <v>1559</v>
      </c>
      <c r="BA28" s="1">
        <v>839</v>
      </c>
      <c r="BB28" s="1">
        <v>15</v>
      </c>
      <c r="BC28" s="1">
        <v>351</v>
      </c>
      <c r="BD28" s="1">
        <v>211</v>
      </c>
      <c r="BE28" s="1">
        <v>534</v>
      </c>
      <c r="BF28" s="1"/>
      <c r="BG28" s="1">
        <v>54</v>
      </c>
      <c r="BH28" s="1">
        <v>60</v>
      </c>
      <c r="BI28" s="1">
        <v>18.600000000000001</v>
      </c>
      <c r="BJ28" s="1">
        <v>286</v>
      </c>
      <c r="BK28" s="1">
        <v>128</v>
      </c>
      <c r="BL28" s="1"/>
      <c r="BM28" s="1"/>
      <c r="BN28" s="1">
        <v>110</v>
      </c>
      <c r="BO28" s="1">
        <v>210</v>
      </c>
      <c r="BP28" s="1">
        <v>1187</v>
      </c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>
        <v>11.5</v>
      </c>
      <c r="CD28" s="1">
        <v>2.7</v>
      </c>
      <c r="CE28" s="1">
        <v>14.2</v>
      </c>
      <c r="CG28" s="22">
        <f t="shared" si="18"/>
        <v>454.54545454545456</v>
      </c>
      <c r="CH28" s="22">
        <f t="shared" si="64"/>
        <v>330.70866141732284</v>
      </c>
      <c r="CI28" s="22">
        <f t="shared" si="80"/>
        <v>12326.06438213915</v>
      </c>
      <c r="CJ28" s="22">
        <f t="shared" si="81"/>
        <v>0</v>
      </c>
      <c r="CK28" s="22">
        <f t="shared" si="82"/>
        <v>0</v>
      </c>
      <c r="CL28" s="22">
        <v>58.059100000000001</v>
      </c>
      <c r="CM28" s="22">
        <f t="shared" si="83"/>
        <v>0</v>
      </c>
      <c r="CN28" s="22">
        <f t="shared" si="84"/>
        <v>0</v>
      </c>
      <c r="CO28" s="22">
        <f t="shared" si="85"/>
        <v>0</v>
      </c>
      <c r="CP28" s="22">
        <f t="shared" si="86"/>
        <v>0</v>
      </c>
      <c r="CQ28" s="22">
        <f t="shared" si="87"/>
        <v>0</v>
      </c>
      <c r="CR28" s="22">
        <f t="shared" si="88"/>
        <v>0</v>
      </c>
      <c r="CS28" s="22">
        <f t="shared" si="26"/>
        <v>0</v>
      </c>
      <c r="CT28" s="22">
        <f t="shared" si="71"/>
        <v>0</v>
      </c>
      <c r="CU28" s="22">
        <f t="shared" si="59"/>
        <v>12.1796875</v>
      </c>
      <c r="CV28" s="22">
        <f t="shared" si="28"/>
        <v>14.172727272727272</v>
      </c>
      <c r="CW28" s="22">
        <f t="shared" si="60"/>
        <v>0.859375</v>
      </c>
      <c r="CX28" s="20">
        <f t="shared" si="61"/>
        <v>156.43203124999999</v>
      </c>
      <c r="CY28" s="22"/>
      <c r="CZ28" s="22"/>
      <c r="DA28" s="22"/>
      <c r="DB28" s="22">
        <f t="shared" si="62"/>
        <v>2.234375</v>
      </c>
      <c r="DC28" s="22">
        <f t="shared" si="89"/>
        <v>135.56521739130434</v>
      </c>
      <c r="DD28" s="22"/>
      <c r="DE28" s="22"/>
      <c r="DF28" s="22"/>
      <c r="DG28" s="19">
        <f t="shared" si="31"/>
        <v>6.8817204301075261</v>
      </c>
      <c r="DH28" s="20">
        <f t="shared" si="32"/>
        <v>227.92763636363637</v>
      </c>
      <c r="DI28" s="19"/>
      <c r="DJ28" s="22"/>
      <c r="DK28" s="22"/>
      <c r="DL28" s="22"/>
      <c r="DM28" s="22"/>
      <c r="DN28" s="22"/>
      <c r="DO28" s="22"/>
      <c r="DP28" s="20"/>
      <c r="DQ28" s="22"/>
      <c r="DR28" s="22"/>
      <c r="DS28" s="19"/>
      <c r="DT28" s="23"/>
      <c r="DU28" s="22">
        <f t="shared" si="44"/>
        <v>15.376344086021504</v>
      </c>
      <c r="DV28" s="22"/>
      <c r="DW28" s="22">
        <f t="shared" si="63"/>
        <v>0.29893909472058899</v>
      </c>
      <c r="DX28" s="22">
        <f t="shared" si="45"/>
        <v>44.755244755244753</v>
      </c>
      <c r="DY28" s="22">
        <f t="shared" si="46"/>
        <v>4.0209790209790208</v>
      </c>
      <c r="DZ28" s="19"/>
      <c r="EA28" s="23"/>
      <c r="EB28" s="19">
        <f t="shared" si="90"/>
        <v>8.984375E-2</v>
      </c>
      <c r="EC28" s="19"/>
      <c r="ED28" s="19"/>
      <c r="EE28" s="19">
        <f t="shared" si="48"/>
        <v>42.587462809069464</v>
      </c>
      <c r="EF28" s="19">
        <f t="shared" si="49"/>
        <v>3.4266953934543967</v>
      </c>
      <c r="EG28" s="19">
        <f t="shared" si="50"/>
        <v>7.5305222119626567</v>
      </c>
      <c r="EH28" s="19">
        <f t="shared" si="51"/>
        <v>11.572791628193292</v>
      </c>
      <c r="EI28" s="19">
        <f t="shared" si="52"/>
        <v>0.17441263978660104</v>
      </c>
      <c r="EJ28" s="19">
        <f t="shared" si="53"/>
        <v>13.932492048835542</v>
      </c>
      <c r="EK28" s="19">
        <f t="shared" si="54"/>
        <v>15.717656714886635</v>
      </c>
      <c r="EL28" s="19">
        <f t="shared" si="55"/>
        <v>1.344003283061455</v>
      </c>
      <c r="EM28" s="19">
        <f t="shared" si="56"/>
        <v>3.0983892479737358</v>
      </c>
      <c r="EN28" s="19">
        <f t="shared" si="57"/>
        <v>0.61557402277623896</v>
      </c>
      <c r="EO28" s="19">
        <f t="shared" si="58"/>
        <v>100.00000000000001</v>
      </c>
    </row>
    <row r="29" spans="1:145" s="18" customFormat="1">
      <c r="A29" s="1" t="s">
        <v>231</v>
      </c>
      <c r="B29" s="1">
        <v>4</v>
      </c>
      <c r="C29" s="1" t="s">
        <v>254</v>
      </c>
      <c r="D29" s="1" t="s">
        <v>244</v>
      </c>
      <c r="F29" s="1" t="s">
        <v>255</v>
      </c>
      <c r="G29" s="1">
        <v>41.57</v>
      </c>
      <c r="H29" s="1">
        <v>3.86</v>
      </c>
      <c r="I29" s="1">
        <v>10.57</v>
      </c>
      <c r="J29" s="1">
        <v>13.41</v>
      </c>
      <c r="K29" s="1">
        <v>0.22</v>
      </c>
      <c r="L29" s="1">
        <v>7.39</v>
      </c>
      <c r="M29" s="1">
        <v>13.86</v>
      </c>
      <c r="N29" s="1">
        <v>3.89</v>
      </c>
      <c r="O29" s="1">
        <v>1.07</v>
      </c>
      <c r="P29" s="1">
        <v>0.79</v>
      </c>
      <c r="Q29" s="1">
        <v>2.61</v>
      </c>
      <c r="R29" s="15"/>
      <c r="S29" s="15">
        <f t="shared" si="0"/>
        <v>96.63</v>
      </c>
      <c r="T29" s="16"/>
      <c r="U29" s="1"/>
      <c r="V29" s="1"/>
      <c r="AF29" s="19">
        <f t="shared" si="1"/>
        <v>0.56222813056140364</v>
      </c>
      <c r="AG29" s="20">
        <f t="shared" si="2"/>
        <v>23140.7</v>
      </c>
      <c r="AH29" s="20">
        <f t="shared" si="3"/>
        <v>8883.1400000000012</v>
      </c>
      <c r="AI29" s="20">
        <f t="shared" si="4"/>
        <v>3447.56</v>
      </c>
      <c r="AJ29" s="19">
        <f t="shared" si="5"/>
        <v>4.96</v>
      </c>
      <c r="AK29" s="19">
        <f t="shared" si="6"/>
        <v>0.27506426735218509</v>
      </c>
      <c r="AL29" s="19">
        <f t="shared" si="7"/>
        <v>3.6355140186915889</v>
      </c>
      <c r="AM29" s="19">
        <f t="shared" si="8"/>
        <v>1.3112582781456954</v>
      </c>
      <c r="AN29" s="19">
        <f t="shared" si="9"/>
        <v>0.1012298959318827</v>
      </c>
      <c r="AO29" s="19">
        <f t="shared" si="10"/>
        <v>0.71498357464512285</v>
      </c>
      <c r="AP29" s="19">
        <f t="shared" si="11"/>
        <v>1.3986335287441296</v>
      </c>
      <c r="AQ29" s="19">
        <f t="shared" si="12"/>
        <v>0.32268426743467904</v>
      </c>
      <c r="AR29" s="19">
        <f t="shared" si="13"/>
        <v>0.71498357464512285</v>
      </c>
      <c r="AS29" s="20">
        <f t="shared" si="14"/>
        <v>1746.5639600054606</v>
      </c>
      <c r="AT29" s="20">
        <f t="shared" si="15"/>
        <v>2021.4209691704671</v>
      </c>
      <c r="AU29" s="19">
        <f t="shared" si="16"/>
        <v>2.5739716141448162E-2</v>
      </c>
      <c r="AV29" s="19">
        <f t="shared" si="17"/>
        <v>0.10956900413179149</v>
      </c>
      <c r="AX29" s="1">
        <v>54.7</v>
      </c>
      <c r="AY29" s="1"/>
      <c r="AZ29" s="1">
        <v>1775</v>
      </c>
      <c r="BA29" s="1">
        <v>208</v>
      </c>
      <c r="BB29" s="1">
        <v>0</v>
      </c>
      <c r="BC29" s="1">
        <v>446</v>
      </c>
      <c r="BD29" s="1">
        <v>47</v>
      </c>
      <c r="BE29" s="1">
        <v>116</v>
      </c>
      <c r="BF29" s="1"/>
      <c r="BG29" s="1">
        <v>66</v>
      </c>
      <c r="BH29" s="1">
        <v>83</v>
      </c>
      <c r="BI29" s="1">
        <v>27.8</v>
      </c>
      <c r="BJ29" s="1">
        <v>452</v>
      </c>
      <c r="BK29" s="1">
        <v>157</v>
      </c>
      <c r="BL29" s="1"/>
      <c r="BM29" s="1"/>
      <c r="BN29" s="1">
        <v>122</v>
      </c>
      <c r="BO29" s="1">
        <v>247</v>
      </c>
      <c r="BP29" s="1">
        <v>1390</v>
      </c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>
        <v>13.7</v>
      </c>
      <c r="CD29" s="1">
        <v>3.5</v>
      </c>
      <c r="CE29" s="1">
        <v>18.3</v>
      </c>
      <c r="CG29" s="22">
        <f t="shared" si="18"/>
        <v>504.1322314049587</v>
      </c>
      <c r="CH29" s="22">
        <f t="shared" si="64"/>
        <v>388.97637795275591</v>
      </c>
      <c r="CI29" s="22">
        <f t="shared" si="80"/>
        <v>14434.060228452752</v>
      </c>
      <c r="CJ29" s="22">
        <f t="shared" si="81"/>
        <v>0</v>
      </c>
      <c r="CK29" s="22">
        <f t="shared" si="82"/>
        <v>0</v>
      </c>
      <c r="CL29" s="22">
        <v>59.059100000000001</v>
      </c>
      <c r="CM29" s="22">
        <f t="shared" si="83"/>
        <v>0</v>
      </c>
      <c r="CN29" s="22">
        <f t="shared" si="84"/>
        <v>0</v>
      </c>
      <c r="CO29" s="22">
        <f t="shared" si="85"/>
        <v>0</v>
      </c>
      <c r="CP29" s="22">
        <f t="shared" si="86"/>
        <v>0</v>
      </c>
      <c r="CQ29" s="22">
        <f t="shared" si="87"/>
        <v>0</v>
      </c>
      <c r="CR29" s="22">
        <f t="shared" si="88"/>
        <v>0</v>
      </c>
      <c r="CS29" s="22">
        <f t="shared" si="26"/>
        <v>0</v>
      </c>
      <c r="CT29" s="22">
        <f t="shared" si="71"/>
        <v>0</v>
      </c>
      <c r="CU29" s="22">
        <f t="shared" si="59"/>
        <v>11.305732484076433</v>
      </c>
      <c r="CV29" s="22">
        <f t="shared" si="28"/>
        <v>14.549180327868852</v>
      </c>
      <c r="CW29" s="22">
        <f t="shared" si="60"/>
        <v>0.77707006369426757</v>
      </c>
      <c r="CX29" s="20">
        <f t="shared" si="61"/>
        <v>147.39299363057324</v>
      </c>
      <c r="CY29" s="22"/>
      <c r="CZ29" s="22"/>
      <c r="DA29" s="22"/>
      <c r="DB29" s="22">
        <f t="shared" si="62"/>
        <v>2.878980891719745</v>
      </c>
      <c r="DC29" s="22">
        <f t="shared" si="89"/>
        <v>129.56204379562044</v>
      </c>
      <c r="DD29" s="22"/>
      <c r="DE29" s="22"/>
      <c r="DF29" s="22"/>
      <c r="DG29" s="19">
        <f t="shared" si="31"/>
        <v>5.6474820143884887</v>
      </c>
      <c r="DH29" s="20">
        <f t="shared" si="32"/>
        <v>72.812622950819687</v>
      </c>
      <c r="DI29" s="19"/>
      <c r="DJ29" s="22"/>
      <c r="DK29" s="22"/>
      <c r="DL29" s="22"/>
      <c r="DM29" s="22"/>
      <c r="DN29" s="22"/>
      <c r="DO29" s="22"/>
      <c r="DP29" s="20"/>
      <c r="DQ29" s="22"/>
      <c r="DR29" s="22"/>
      <c r="DS29" s="19"/>
      <c r="DT29" s="23"/>
      <c r="DU29" s="22">
        <f t="shared" si="44"/>
        <v>16.258992805755394</v>
      </c>
      <c r="DV29" s="22"/>
      <c r="DW29" s="22">
        <f t="shared" si="63"/>
        <v>0.16655506981601054</v>
      </c>
      <c r="DX29" s="22">
        <f t="shared" si="45"/>
        <v>34.73451327433628</v>
      </c>
      <c r="DY29" s="22">
        <f t="shared" si="46"/>
        <v>3.0309734513274336</v>
      </c>
      <c r="DZ29" s="19"/>
      <c r="EA29" s="23"/>
      <c r="EB29" s="19">
        <f t="shared" si="90"/>
        <v>8.7261146496815281E-2</v>
      </c>
      <c r="EC29" s="19"/>
      <c r="ED29" s="19"/>
      <c r="EE29" s="19">
        <f t="shared" si="48"/>
        <v>43.019766118182758</v>
      </c>
      <c r="EF29" s="19">
        <f t="shared" si="49"/>
        <v>3.9946186484528616</v>
      </c>
      <c r="EG29" s="19">
        <f t="shared" si="50"/>
        <v>10.93863189485667</v>
      </c>
      <c r="EH29" s="19">
        <f t="shared" si="51"/>
        <v>13.87767773983235</v>
      </c>
      <c r="EI29" s="19">
        <f t="shared" si="52"/>
        <v>0.22767256545586259</v>
      </c>
      <c r="EJ29" s="19">
        <f t="shared" si="53"/>
        <v>7.6477284487219297</v>
      </c>
      <c r="EK29" s="19">
        <f t="shared" si="54"/>
        <v>14.343371623719342</v>
      </c>
      <c r="EL29" s="19">
        <f t="shared" si="55"/>
        <v>4.025664907378661</v>
      </c>
      <c r="EM29" s="19">
        <f t="shared" si="56"/>
        <v>1.1073165683535136</v>
      </c>
      <c r="EN29" s="19">
        <f t="shared" si="57"/>
        <v>0.81755148504605202</v>
      </c>
      <c r="EO29" s="19">
        <f t="shared" si="58"/>
        <v>100</v>
      </c>
    </row>
    <row r="30" spans="1:145" s="18" customFormat="1">
      <c r="A30" s="1" t="s">
        <v>231</v>
      </c>
      <c r="B30" s="1">
        <v>4</v>
      </c>
      <c r="C30" s="1" t="s">
        <v>254</v>
      </c>
      <c r="D30" s="1" t="s">
        <v>244</v>
      </c>
      <c r="F30" s="1" t="s">
        <v>255</v>
      </c>
      <c r="G30" s="1">
        <v>38.56</v>
      </c>
      <c r="H30" s="1">
        <v>4.91</v>
      </c>
      <c r="I30" s="1">
        <v>11.99</v>
      </c>
      <c r="J30" s="1">
        <v>13.99</v>
      </c>
      <c r="K30" s="1">
        <v>0.22</v>
      </c>
      <c r="L30" s="1">
        <v>8.26</v>
      </c>
      <c r="M30" s="1">
        <v>12.44</v>
      </c>
      <c r="N30" s="1">
        <v>2.56</v>
      </c>
      <c r="O30" s="1">
        <v>0.67</v>
      </c>
      <c r="P30" s="1">
        <v>0.73</v>
      </c>
      <c r="Q30" s="1">
        <v>5.0599999999999996</v>
      </c>
      <c r="R30" s="15"/>
      <c r="S30" s="15">
        <f t="shared" si="0"/>
        <v>94.330000000000013</v>
      </c>
      <c r="T30" s="16"/>
      <c r="U30" s="1"/>
      <c r="V30" s="1"/>
      <c r="AF30" s="19">
        <f t="shared" si="1"/>
        <v>0.57912062732867886</v>
      </c>
      <c r="AG30" s="20">
        <f t="shared" si="2"/>
        <v>29435.45</v>
      </c>
      <c r="AH30" s="20">
        <f t="shared" si="3"/>
        <v>5562.34</v>
      </c>
      <c r="AI30" s="20">
        <f t="shared" si="4"/>
        <v>3185.72</v>
      </c>
      <c r="AJ30" s="19">
        <f t="shared" si="5"/>
        <v>3.23</v>
      </c>
      <c r="AK30" s="19">
        <f t="shared" si="6"/>
        <v>0.26171875</v>
      </c>
      <c r="AL30" s="19">
        <f t="shared" si="7"/>
        <v>3.8208955223880596</v>
      </c>
      <c r="AM30" s="19">
        <f t="shared" si="8"/>
        <v>1.0375312760633861</v>
      </c>
      <c r="AN30" s="19">
        <f t="shared" si="9"/>
        <v>5.587989991659717E-2</v>
      </c>
      <c r="AO30" s="19">
        <f t="shared" si="10"/>
        <v>0.41171918152787129</v>
      </c>
      <c r="AP30" s="19">
        <f t="shared" si="11"/>
        <v>2.4288399590445242</v>
      </c>
      <c r="AQ30" s="19">
        <f t="shared" si="12"/>
        <v>0.43514729856897577</v>
      </c>
      <c r="AR30" s="19">
        <f t="shared" si="13"/>
        <v>0.41171918152787129</v>
      </c>
      <c r="AS30" s="20">
        <f t="shared" si="14"/>
        <v>1840.8793618037464</v>
      </c>
      <c r="AT30" s="20">
        <f t="shared" si="15"/>
        <v>1970.18601836173</v>
      </c>
      <c r="AU30" s="19">
        <f t="shared" si="16"/>
        <v>1.7375518672199171E-2</v>
      </c>
      <c r="AV30" s="19">
        <f t="shared" si="17"/>
        <v>6.0483169803569499E-2</v>
      </c>
      <c r="AX30" s="1">
        <v>52</v>
      </c>
      <c r="AY30" s="1"/>
      <c r="AZ30" s="1">
        <v>1253</v>
      </c>
      <c r="BA30" s="1">
        <v>90</v>
      </c>
      <c r="BB30" s="1">
        <v>5</v>
      </c>
      <c r="BC30" s="1">
        <v>427</v>
      </c>
      <c r="BD30" s="1">
        <v>70</v>
      </c>
      <c r="BE30" s="1">
        <v>104</v>
      </c>
      <c r="BF30" s="1"/>
      <c r="BG30" s="1">
        <v>51</v>
      </c>
      <c r="BH30" s="1">
        <v>105</v>
      </c>
      <c r="BI30" s="1">
        <v>32.4</v>
      </c>
      <c r="BJ30" s="1">
        <v>520</v>
      </c>
      <c r="BK30" s="1">
        <v>132</v>
      </c>
      <c r="BL30" s="1"/>
      <c r="BM30" s="1"/>
      <c r="BN30" s="1">
        <v>95</v>
      </c>
      <c r="BO30" s="1">
        <v>214</v>
      </c>
      <c r="BP30" s="1">
        <v>1592</v>
      </c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>
        <v>10.199999999999999</v>
      </c>
      <c r="CD30" s="1">
        <v>2.4</v>
      </c>
      <c r="CE30" s="1">
        <v>21.2</v>
      </c>
      <c r="CG30" s="22">
        <f t="shared" si="18"/>
        <v>392.56198347107437</v>
      </c>
      <c r="CH30" s="22">
        <f t="shared" si="64"/>
        <v>337.00787401574803</v>
      </c>
      <c r="CI30" s="22">
        <f t="shared" si="80"/>
        <v>16531.671858774662</v>
      </c>
      <c r="CJ30" s="22">
        <f t="shared" si="81"/>
        <v>0</v>
      </c>
      <c r="CK30" s="22">
        <f t="shared" si="82"/>
        <v>0</v>
      </c>
      <c r="CL30" s="22">
        <v>60.059100000000001</v>
      </c>
      <c r="CM30" s="22">
        <f t="shared" si="83"/>
        <v>0</v>
      </c>
      <c r="CN30" s="22">
        <f t="shared" si="84"/>
        <v>0</v>
      </c>
      <c r="CO30" s="22">
        <f t="shared" si="85"/>
        <v>0</v>
      </c>
      <c r="CP30" s="22">
        <f t="shared" si="86"/>
        <v>0</v>
      </c>
      <c r="CQ30" s="22">
        <f t="shared" si="87"/>
        <v>0</v>
      </c>
      <c r="CR30" s="22">
        <f t="shared" si="88"/>
        <v>0</v>
      </c>
      <c r="CS30" s="22">
        <f t="shared" si="26"/>
        <v>0</v>
      </c>
      <c r="CT30" s="22">
        <f t="shared" si="71"/>
        <v>0</v>
      </c>
      <c r="CU30" s="22">
        <f t="shared" si="59"/>
        <v>9.4924242424242422</v>
      </c>
      <c r="CV30" s="22">
        <f t="shared" si="28"/>
        <v>13.189473684210526</v>
      </c>
      <c r="CW30" s="22">
        <f t="shared" si="60"/>
        <v>0.71969696969696972</v>
      </c>
      <c r="CX30" s="20">
        <f t="shared" si="61"/>
        <v>222.99583333333334</v>
      </c>
      <c r="CY30" s="22"/>
      <c r="CZ30" s="22"/>
      <c r="DA30" s="22"/>
      <c r="DB30" s="22">
        <f t="shared" si="62"/>
        <v>3.9393939393939394</v>
      </c>
      <c r="DC30" s="22">
        <f t="shared" si="89"/>
        <v>122.84313725490198</v>
      </c>
      <c r="DD30" s="22"/>
      <c r="DE30" s="22"/>
      <c r="DF30" s="22"/>
      <c r="DG30" s="19">
        <f t="shared" si="31"/>
        <v>4.0740740740740744</v>
      </c>
      <c r="DH30" s="20">
        <f t="shared" si="32"/>
        <v>58.550947368421056</v>
      </c>
      <c r="DI30" s="19"/>
      <c r="DJ30" s="22"/>
      <c r="DK30" s="22"/>
      <c r="DL30" s="22"/>
      <c r="DM30" s="22"/>
      <c r="DN30" s="22"/>
      <c r="DO30" s="22"/>
      <c r="DP30" s="20"/>
      <c r="DQ30" s="22"/>
      <c r="DR30" s="22"/>
      <c r="DS30" s="19"/>
      <c r="DT30" s="23"/>
      <c r="DU30" s="22">
        <f t="shared" si="44"/>
        <v>16.049382716049383</v>
      </c>
      <c r="DV30" s="22"/>
      <c r="DW30" s="22">
        <f t="shared" si="63"/>
        <v>3.5548920817118912E-2</v>
      </c>
      <c r="DX30" s="22">
        <f t="shared" si="45"/>
        <v>25.384615384615383</v>
      </c>
      <c r="DY30" s="22">
        <f t="shared" si="46"/>
        <v>1.9615384615384612</v>
      </c>
      <c r="DZ30" s="19"/>
      <c r="EA30" s="23"/>
      <c r="EB30" s="19">
        <f t="shared" si="90"/>
        <v>7.7272727272727271E-2</v>
      </c>
      <c r="EC30" s="19"/>
      <c r="ED30" s="19"/>
      <c r="EE30" s="19">
        <f t="shared" si="48"/>
        <v>40.877769532492309</v>
      </c>
      <c r="EF30" s="19">
        <f t="shared" si="49"/>
        <v>5.2051309233541811</v>
      </c>
      <c r="EG30" s="19">
        <f t="shared" si="50"/>
        <v>12.710696491042084</v>
      </c>
      <c r="EH30" s="19">
        <f t="shared" si="51"/>
        <v>14.830912753100815</v>
      </c>
      <c r="EI30" s="19">
        <f t="shared" si="52"/>
        <v>0.23322378882646028</v>
      </c>
      <c r="EJ30" s="19">
        <f t="shared" si="53"/>
        <v>8.7564931623025544</v>
      </c>
      <c r="EK30" s="19">
        <f t="shared" si="54"/>
        <v>13.187745150005298</v>
      </c>
      <c r="EL30" s="19">
        <f t="shared" si="55"/>
        <v>2.713876815435174</v>
      </c>
      <c r="EM30" s="19">
        <f t="shared" si="56"/>
        <v>0.71027244778967447</v>
      </c>
      <c r="EN30" s="19">
        <f t="shared" si="57"/>
        <v>0.77387893565143639</v>
      </c>
      <c r="EO30" s="19">
        <f t="shared" si="58"/>
        <v>99.999999999999986</v>
      </c>
    </row>
    <row r="31" spans="1:145" s="18" customFormat="1">
      <c r="A31" s="1" t="s">
        <v>231</v>
      </c>
      <c r="B31" s="1">
        <v>4</v>
      </c>
      <c r="C31" s="1" t="s">
        <v>256</v>
      </c>
      <c r="D31" s="1" t="s">
        <v>244</v>
      </c>
      <c r="F31" s="1" t="s">
        <v>255</v>
      </c>
      <c r="G31" s="1">
        <v>39.71</v>
      </c>
      <c r="H31" s="1">
        <v>3.41</v>
      </c>
      <c r="I31" s="1">
        <v>9.32</v>
      </c>
      <c r="J31" s="1">
        <v>14.6568</v>
      </c>
      <c r="K31" s="1">
        <v>0.26</v>
      </c>
      <c r="L31" s="1">
        <v>10.56</v>
      </c>
      <c r="M31" s="1">
        <v>14.09</v>
      </c>
      <c r="N31" s="1">
        <v>3</v>
      </c>
      <c r="O31" s="1">
        <v>1.48</v>
      </c>
      <c r="P31" s="1">
        <v>1.1200000000000001</v>
      </c>
      <c r="Q31" s="1">
        <v>2.8</v>
      </c>
      <c r="R31" s="15"/>
      <c r="S31" s="15">
        <f t="shared" si="0"/>
        <v>97.606800000000021</v>
      </c>
      <c r="T31" s="16"/>
      <c r="U31" s="1">
        <v>0.70464800000000005</v>
      </c>
      <c r="V31" s="1">
        <v>0.51241700000000001</v>
      </c>
      <c r="AF31" s="19">
        <f t="shared" si="1"/>
        <v>0.62673884442572092</v>
      </c>
      <c r="AG31" s="20">
        <f t="shared" si="2"/>
        <v>20442.95</v>
      </c>
      <c r="AH31" s="20">
        <f t="shared" si="3"/>
        <v>12286.96</v>
      </c>
      <c r="AI31" s="20">
        <f t="shared" si="4"/>
        <v>4887.68</v>
      </c>
      <c r="AJ31" s="19">
        <f t="shared" si="5"/>
        <v>4.4800000000000004</v>
      </c>
      <c r="AK31" s="19">
        <f t="shared" si="6"/>
        <v>0.49333333333333335</v>
      </c>
      <c r="AL31" s="19">
        <f t="shared" si="7"/>
        <v>2.0270270270270272</v>
      </c>
      <c r="AM31" s="19">
        <f t="shared" si="8"/>
        <v>1.5118025751072961</v>
      </c>
      <c r="AN31" s="19">
        <f t="shared" si="9"/>
        <v>0.15879828326180256</v>
      </c>
      <c r="AO31" s="19">
        <f t="shared" si="10"/>
        <v>0.70140125412608145</v>
      </c>
      <c r="AP31" s="19">
        <f t="shared" si="11"/>
        <v>1.4257174393649479</v>
      </c>
      <c r="AQ31" s="19">
        <f t="shared" si="12"/>
        <v>0.28985211681992235</v>
      </c>
      <c r="AR31" s="19">
        <f t="shared" si="13"/>
        <v>0.70140125412608145</v>
      </c>
      <c r="AS31" s="20">
        <f t="shared" si="14"/>
        <v>1710.536812192651</v>
      </c>
      <c r="AT31" s="20">
        <f t="shared" si="15"/>
        <v>2175.0197479642375</v>
      </c>
      <c r="AU31" s="19">
        <f t="shared" si="16"/>
        <v>3.727020901536137E-2</v>
      </c>
      <c r="AV31" s="19">
        <f t="shared" si="17"/>
        <v>0.17187975542859224</v>
      </c>
      <c r="AX31" s="1">
        <v>54</v>
      </c>
      <c r="AY31" s="1"/>
      <c r="AZ31" s="1">
        <v>1295</v>
      </c>
      <c r="BA31" s="1">
        <v>345</v>
      </c>
      <c r="BB31" s="1">
        <v>37</v>
      </c>
      <c r="BC31" s="1">
        <v>334</v>
      </c>
      <c r="BD31" s="1">
        <v>183</v>
      </c>
      <c r="BE31" s="1">
        <v>49</v>
      </c>
      <c r="BF31" s="1"/>
      <c r="BG31" s="1">
        <v>58</v>
      </c>
      <c r="BH31" s="1">
        <v>113</v>
      </c>
      <c r="BI31" s="1">
        <v>34.1</v>
      </c>
      <c r="BJ31" s="1">
        <v>506</v>
      </c>
      <c r="BK31" s="1">
        <v>133</v>
      </c>
      <c r="BL31" s="1">
        <v>9.59</v>
      </c>
      <c r="BM31" s="1">
        <v>7.58</v>
      </c>
      <c r="BN31" s="1">
        <v>120</v>
      </c>
      <c r="BO31" s="1">
        <v>216</v>
      </c>
      <c r="BP31" s="1">
        <v>1725</v>
      </c>
      <c r="BQ31" s="1">
        <v>76.099999999999994</v>
      </c>
      <c r="BR31" s="1">
        <v>12.8</v>
      </c>
      <c r="BS31" s="1">
        <v>3.18</v>
      </c>
      <c r="BT31" s="1">
        <v>9.6</v>
      </c>
      <c r="BU31" s="1">
        <v>1.23</v>
      </c>
      <c r="BV31" s="1">
        <v>6.4</v>
      </c>
      <c r="BW31" s="1"/>
      <c r="BX31" s="1">
        <v>2.86</v>
      </c>
      <c r="BY31" s="1"/>
      <c r="BZ31" s="1">
        <v>2.25</v>
      </c>
      <c r="CA31" s="1">
        <v>0.4</v>
      </c>
      <c r="CB31" s="1"/>
      <c r="CC31" s="1">
        <v>15.2</v>
      </c>
      <c r="CD31" s="1">
        <v>3.3</v>
      </c>
      <c r="CE31" s="1">
        <v>20.100000000000001</v>
      </c>
      <c r="CG31" s="22">
        <f t="shared" si="18"/>
        <v>495.86776859504135</v>
      </c>
      <c r="CH31" s="22">
        <f t="shared" si="64"/>
        <v>340.15748031496065</v>
      </c>
      <c r="CI31" s="22">
        <f t="shared" si="80"/>
        <v>17912.772585669783</v>
      </c>
      <c r="CJ31" s="22">
        <f t="shared" si="81"/>
        <v>158.54166666666666</v>
      </c>
      <c r="CK31" s="22">
        <f t="shared" si="82"/>
        <v>82.051282051282058</v>
      </c>
      <c r="CL31" s="22">
        <v>61.059100000000001</v>
      </c>
      <c r="CM31" s="22">
        <f t="shared" si="83"/>
        <v>45.283018867924525</v>
      </c>
      <c r="CN31" s="22">
        <f t="shared" si="84"/>
        <v>32.712765957446805</v>
      </c>
      <c r="CO31" s="22">
        <f t="shared" si="85"/>
        <v>24.710424710424711</v>
      </c>
      <c r="CP31" s="22">
        <f t="shared" si="86"/>
        <v>0</v>
      </c>
      <c r="CQ31" s="22">
        <f t="shared" si="87"/>
        <v>17.54601226993865</v>
      </c>
      <c r="CR31" s="22">
        <f t="shared" si="88"/>
        <v>0</v>
      </c>
      <c r="CS31" s="22">
        <f t="shared" si="26"/>
        <v>13.554216867469879</v>
      </c>
      <c r="CT31" s="22">
        <f t="shared" si="71"/>
        <v>16</v>
      </c>
      <c r="CU31" s="22">
        <f t="shared" si="59"/>
        <v>9.7368421052631575</v>
      </c>
      <c r="CV31" s="22">
        <f t="shared" si="28"/>
        <v>10.791666666666666</v>
      </c>
      <c r="CW31" s="22">
        <f t="shared" si="60"/>
        <v>0.90225563909774431</v>
      </c>
      <c r="CX31" s="20">
        <f t="shared" si="61"/>
        <v>153.70639097744362</v>
      </c>
      <c r="CY31" s="22"/>
      <c r="CZ31" s="22"/>
      <c r="DA31" s="22"/>
      <c r="DB31" s="22">
        <f t="shared" si="62"/>
        <v>3.8045112781954886</v>
      </c>
      <c r="DC31" s="22">
        <f t="shared" si="89"/>
        <v>85.19736842105263</v>
      </c>
      <c r="DD31" s="22"/>
      <c r="DE31" s="22"/>
      <c r="DF31" s="22"/>
      <c r="DG31" s="19">
        <f t="shared" si="31"/>
        <v>3.9002932551319645</v>
      </c>
      <c r="DH31" s="20">
        <f t="shared" si="32"/>
        <v>102.39133333333332</v>
      </c>
      <c r="DI31" s="19"/>
      <c r="DJ31" s="22"/>
      <c r="DK31" s="22"/>
      <c r="DL31" s="22"/>
      <c r="DM31" s="22">
        <f t="shared" ref="DM31:DM41" si="91">BN31/BZ31</f>
        <v>53.333333333333336</v>
      </c>
      <c r="DN31" s="22">
        <f t="shared" ref="DN31:DN41" si="92">BL31/BQ31</f>
        <v>0.12601839684625493</v>
      </c>
      <c r="DO31" s="22">
        <f t="shared" ref="DO31:DO41" si="93">BR31/BZ31</f>
        <v>5.6888888888888891</v>
      </c>
      <c r="DP31" s="20"/>
      <c r="DQ31" s="22"/>
      <c r="DR31" s="22"/>
      <c r="DS31" s="19"/>
      <c r="DT31" s="23"/>
      <c r="DU31" s="22">
        <f t="shared" si="44"/>
        <v>14.838709677419354</v>
      </c>
      <c r="DV31" s="22"/>
      <c r="DW31" s="22">
        <f t="shared" si="63"/>
        <v>8.2016677307769292E-2</v>
      </c>
      <c r="DX31" s="22">
        <f t="shared" si="45"/>
        <v>26.284584980237153</v>
      </c>
      <c r="DY31" s="22">
        <f t="shared" si="46"/>
        <v>3.0039525691699605</v>
      </c>
      <c r="DZ31" s="19"/>
      <c r="EA31" s="23"/>
      <c r="EB31" s="19">
        <f t="shared" si="90"/>
        <v>0.11428571428571428</v>
      </c>
      <c r="EC31" s="19"/>
      <c r="ED31" s="19"/>
      <c r="EE31" s="19">
        <f t="shared" si="48"/>
        <v>40.683640893872138</v>
      </c>
      <c r="EF31" s="19">
        <f t="shared" si="49"/>
        <v>3.4936090518283556</v>
      </c>
      <c r="EG31" s="19">
        <f t="shared" si="50"/>
        <v>9.548515062475154</v>
      </c>
      <c r="EH31" s="19">
        <f t="shared" si="51"/>
        <v>15.016166906404059</v>
      </c>
      <c r="EI31" s="19">
        <f t="shared" si="52"/>
        <v>0.26637488371711804</v>
      </c>
      <c r="EJ31" s="19">
        <f t="shared" si="53"/>
        <v>10.818918354049101</v>
      </c>
      <c r="EK31" s="19">
        <f t="shared" si="54"/>
        <v>14.435469659900741</v>
      </c>
      <c r="EL31" s="19">
        <f t="shared" si="55"/>
        <v>3.0735563505821308</v>
      </c>
      <c r="EM31" s="19">
        <f t="shared" si="56"/>
        <v>1.516287799620518</v>
      </c>
      <c r="EN31" s="19">
        <f t="shared" si="57"/>
        <v>1.1474610375506624</v>
      </c>
      <c r="EO31" s="19">
        <f t="shared" si="58"/>
        <v>99.999999999999986</v>
      </c>
    </row>
    <row r="32" spans="1:145" s="18" customFormat="1">
      <c r="A32" s="1" t="s">
        <v>231</v>
      </c>
      <c r="B32" s="1">
        <v>4</v>
      </c>
      <c r="C32" s="1" t="s">
        <v>256</v>
      </c>
      <c r="D32" s="1" t="s">
        <v>244</v>
      </c>
      <c r="F32" s="1" t="s">
        <v>255</v>
      </c>
      <c r="G32" s="1">
        <v>39.47</v>
      </c>
      <c r="H32" s="1">
        <v>3.44</v>
      </c>
      <c r="I32" s="1">
        <v>9.24</v>
      </c>
      <c r="J32" s="1">
        <v>14.5777</v>
      </c>
      <c r="K32" s="1">
        <v>0.26</v>
      </c>
      <c r="L32" s="1">
        <v>10.65</v>
      </c>
      <c r="M32" s="1">
        <v>14.13</v>
      </c>
      <c r="N32" s="1">
        <v>2.8</v>
      </c>
      <c r="O32" s="1">
        <v>1.24</v>
      </c>
      <c r="P32" s="1">
        <v>1.1200000000000001</v>
      </c>
      <c r="Q32" s="1">
        <v>3.21</v>
      </c>
      <c r="R32" s="15"/>
      <c r="S32" s="15">
        <f t="shared" si="0"/>
        <v>96.927700000000002</v>
      </c>
      <c r="T32" s="16"/>
      <c r="U32" s="1">
        <v>0.704924</v>
      </c>
      <c r="V32" s="1">
        <v>0.51241999999999999</v>
      </c>
      <c r="AF32" s="19">
        <f t="shared" si="1"/>
        <v>0.62998434535293635</v>
      </c>
      <c r="AG32" s="20">
        <f t="shared" si="2"/>
        <v>20622.8</v>
      </c>
      <c r="AH32" s="20">
        <f t="shared" si="3"/>
        <v>10294.48</v>
      </c>
      <c r="AI32" s="20">
        <f t="shared" si="4"/>
        <v>4887.68</v>
      </c>
      <c r="AJ32" s="19">
        <f t="shared" si="5"/>
        <v>4.04</v>
      </c>
      <c r="AK32" s="19">
        <f t="shared" si="6"/>
        <v>0.44285714285714289</v>
      </c>
      <c r="AL32" s="19">
        <f t="shared" si="7"/>
        <v>2.258064516129032</v>
      </c>
      <c r="AM32" s="19">
        <f t="shared" si="8"/>
        <v>1.5292207792207793</v>
      </c>
      <c r="AN32" s="19">
        <f t="shared" si="9"/>
        <v>0.13419913419913421</v>
      </c>
      <c r="AO32" s="19">
        <f t="shared" si="10"/>
        <v>0.64375320670571035</v>
      </c>
      <c r="AP32" s="19">
        <f t="shared" si="11"/>
        <v>1.5533903203641</v>
      </c>
      <c r="AQ32" s="19">
        <f t="shared" si="12"/>
        <v>0.29205134385230863</v>
      </c>
      <c r="AR32" s="19">
        <f t="shared" si="13"/>
        <v>0.64375320670571035</v>
      </c>
      <c r="AS32" s="20">
        <f t="shared" si="14"/>
        <v>1771.8173417884195</v>
      </c>
      <c r="AT32" s="20">
        <f t="shared" si="15"/>
        <v>2198.4723208609112</v>
      </c>
      <c r="AU32" s="19">
        <f t="shared" si="16"/>
        <v>3.1416265518115022E-2</v>
      </c>
      <c r="AV32" s="19">
        <f t="shared" si="17"/>
        <v>0.14525417964908408</v>
      </c>
      <c r="AX32" s="1">
        <v>56</v>
      </c>
      <c r="AY32" s="1"/>
      <c r="AZ32" s="1">
        <v>1260</v>
      </c>
      <c r="BA32" s="1">
        <v>360</v>
      </c>
      <c r="BB32" s="1">
        <v>37</v>
      </c>
      <c r="BC32" s="1">
        <v>335</v>
      </c>
      <c r="BD32" s="1">
        <v>193</v>
      </c>
      <c r="BE32" s="1">
        <v>52</v>
      </c>
      <c r="BF32" s="1"/>
      <c r="BG32" s="1">
        <v>57</v>
      </c>
      <c r="BH32" s="1">
        <v>114</v>
      </c>
      <c r="BI32" s="1">
        <v>34.4</v>
      </c>
      <c r="BJ32" s="1">
        <v>502</v>
      </c>
      <c r="BK32" s="1">
        <v>132</v>
      </c>
      <c r="BL32" s="1">
        <v>6.33</v>
      </c>
      <c r="BM32" s="1">
        <v>6.83</v>
      </c>
      <c r="BN32" s="1">
        <v>119</v>
      </c>
      <c r="BO32" s="1">
        <v>217</v>
      </c>
      <c r="BP32" s="1">
        <v>1633</v>
      </c>
      <c r="BQ32" s="1">
        <v>63.6</v>
      </c>
      <c r="BR32" s="1">
        <v>9.4</v>
      </c>
      <c r="BS32" s="1">
        <v>2.68</v>
      </c>
      <c r="BT32" s="1">
        <v>6</v>
      </c>
      <c r="BU32" s="1">
        <v>0.79</v>
      </c>
      <c r="BV32" s="1">
        <v>3.52</v>
      </c>
      <c r="BW32" s="1"/>
      <c r="BX32" s="1">
        <v>1.29</v>
      </c>
      <c r="BY32" s="1"/>
      <c r="BZ32" s="1">
        <v>0.94</v>
      </c>
      <c r="CA32" s="1">
        <v>0.13</v>
      </c>
      <c r="CB32" s="1"/>
      <c r="CC32" s="1">
        <v>15.1</v>
      </c>
      <c r="CD32" s="1">
        <v>2.6</v>
      </c>
      <c r="CE32" s="1">
        <v>19.8</v>
      </c>
      <c r="CG32" s="22">
        <f t="shared" si="18"/>
        <v>491.73553719008265</v>
      </c>
      <c r="CH32" s="22">
        <f t="shared" si="64"/>
        <v>341.73228346456693</v>
      </c>
      <c r="CI32" s="22">
        <f t="shared" si="80"/>
        <v>16957.424714434062</v>
      </c>
      <c r="CJ32" s="22">
        <f t="shared" si="81"/>
        <v>132.5</v>
      </c>
      <c r="CK32" s="22">
        <f t="shared" si="82"/>
        <v>60.256410256410255</v>
      </c>
      <c r="CL32" s="22">
        <v>62.059100000000001</v>
      </c>
      <c r="CM32" s="22">
        <f t="shared" si="83"/>
        <v>28.30188679245283</v>
      </c>
      <c r="CN32" s="22">
        <f t="shared" si="84"/>
        <v>21.01063829787234</v>
      </c>
      <c r="CO32" s="22">
        <f t="shared" si="85"/>
        <v>13.59073359073359</v>
      </c>
      <c r="CP32" s="22">
        <f t="shared" si="86"/>
        <v>0</v>
      </c>
      <c r="CQ32" s="22">
        <f t="shared" si="87"/>
        <v>7.9141104294478524</v>
      </c>
      <c r="CR32" s="22">
        <f t="shared" si="88"/>
        <v>0</v>
      </c>
      <c r="CS32" s="22">
        <f t="shared" si="26"/>
        <v>5.6626506024096379</v>
      </c>
      <c r="CT32" s="22">
        <f t="shared" si="71"/>
        <v>5.2</v>
      </c>
      <c r="CU32" s="22">
        <f t="shared" si="59"/>
        <v>9.545454545454545</v>
      </c>
      <c r="CV32" s="22">
        <f t="shared" si="28"/>
        <v>10.588235294117647</v>
      </c>
      <c r="CW32" s="22">
        <f t="shared" si="60"/>
        <v>0.90151515151515149</v>
      </c>
      <c r="CX32" s="20">
        <f t="shared" si="61"/>
        <v>156.23333333333332</v>
      </c>
      <c r="CY32" s="22"/>
      <c r="CZ32" s="22"/>
      <c r="DA32" s="22"/>
      <c r="DB32" s="22">
        <f t="shared" si="62"/>
        <v>3.8030303030303032</v>
      </c>
      <c r="DC32" s="22">
        <f t="shared" si="89"/>
        <v>83.443708609271525</v>
      </c>
      <c r="DD32" s="22"/>
      <c r="DE32" s="22"/>
      <c r="DF32" s="22"/>
      <c r="DG32" s="19">
        <f t="shared" si="31"/>
        <v>3.8372093023255816</v>
      </c>
      <c r="DH32" s="20">
        <f t="shared" si="32"/>
        <v>86.50823529411764</v>
      </c>
      <c r="DI32" s="19"/>
      <c r="DJ32" s="22"/>
      <c r="DK32" s="22"/>
      <c r="DL32" s="22"/>
      <c r="DM32" s="22">
        <f t="shared" si="91"/>
        <v>126.59574468085107</v>
      </c>
      <c r="DN32" s="22">
        <f t="shared" si="92"/>
        <v>9.9528301886792458E-2</v>
      </c>
      <c r="DO32" s="22">
        <f t="shared" si="93"/>
        <v>10.000000000000002</v>
      </c>
      <c r="DP32" s="20"/>
      <c r="DQ32" s="22"/>
      <c r="DR32" s="22"/>
      <c r="DS32" s="19"/>
      <c r="DT32" s="23"/>
      <c r="DU32" s="22">
        <f t="shared" si="44"/>
        <v>14.593023255813954</v>
      </c>
      <c r="DV32" s="22"/>
      <c r="DW32" s="22">
        <f t="shared" si="63"/>
        <v>8.8856561453220628E-2</v>
      </c>
      <c r="DX32" s="22">
        <f t="shared" si="45"/>
        <v>26.294820717131476</v>
      </c>
      <c r="DY32" s="22">
        <f t="shared" si="46"/>
        <v>3.0079681274900398</v>
      </c>
      <c r="DZ32" s="19"/>
      <c r="EA32" s="23"/>
      <c r="EB32" s="19">
        <f t="shared" si="90"/>
        <v>0.1143939393939394</v>
      </c>
      <c r="EC32" s="19"/>
      <c r="ED32" s="19"/>
      <c r="EE32" s="19">
        <f t="shared" si="48"/>
        <v>40.721073542444522</v>
      </c>
      <c r="EF32" s="19">
        <f t="shared" si="49"/>
        <v>3.5490370657717039</v>
      </c>
      <c r="EG32" s="19">
        <f t="shared" si="50"/>
        <v>9.5328786301542277</v>
      </c>
      <c r="EH32" s="19">
        <f t="shared" si="51"/>
        <v>15.039766753982608</v>
      </c>
      <c r="EI32" s="19">
        <f t="shared" si="52"/>
        <v>0.26824117357576832</v>
      </c>
      <c r="EJ32" s="19">
        <f t="shared" si="53"/>
        <v>10.987571148392048</v>
      </c>
      <c r="EK32" s="19">
        <f t="shared" si="54"/>
        <v>14.577876087021563</v>
      </c>
      <c r="EL32" s="19">
        <f t="shared" si="55"/>
        <v>2.8887511000467359</v>
      </c>
      <c r="EM32" s="19">
        <f t="shared" si="56"/>
        <v>1.2793040585921258</v>
      </c>
      <c r="EN32" s="19">
        <f t="shared" si="57"/>
        <v>1.1555004400186946</v>
      </c>
      <c r="EO32" s="19">
        <f t="shared" si="58"/>
        <v>100.00000000000001</v>
      </c>
    </row>
    <row r="33" spans="1:145" s="18" customFormat="1">
      <c r="A33" s="1" t="s">
        <v>231</v>
      </c>
      <c r="B33" s="1">
        <v>4</v>
      </c>
      <c r="C33" s="1" t="s">
        <v>256</v>
      </c>
      <c r="D33" s="1" t="s">
        <v>244</v>
      </c>
      <c r="F33" s="1" t="s">
        <v>255</v>
      </c>
      <c r="G33" s="1">
        <v>45.54</v>
      </c>
      <c r="H33" s="1">
        <v>3.73</v>
      </c>
      <c r="I33" s="1">
        <v>9.48</v>
      </c>
      <c r="J33" s="1">
        <v>18.985399999999998</v>
      </c>
      <c r="K33" s="1">
        <v>0.16</v>
      </c>
      <c r="L33" s="1">
        <v>7.9</v>
      </c>
      <c r="M33" s="1">
        <v>13.17</v>
      </c>
      <c r="N33" s="1">
        <v>1.53</v>
      </c>
      <c r="O33" s="1">
        <v>2.97</v>
      </c>
      <c r="P33" s="1">
        <v>0.56000000000000005</v>
      </c>
      <c r="Q33" s="1">
        <v>1.84</v>
      </c>
      <c r="R33" s="15"/>
      <c r="S33" s="15">
        <f t="shared" si="0"/>
        <v>104.0254</v>
      </c>
      <c r="T33" s="16"/>
      <c r="U33" s="1">
        <v>0.70617700000000005</v>
      </c>
      <c r="V33" s="1">
        <v>0.51248899999999997</v>
      </c>
      <c r="AF33" s="19">
        <f t="shared" si="1"/>
        <v>0.49231941025815806</v>
      </c>
      <c r="AG33" s="20">
        <f t="shared" si="2"/>
        <v>22361.35</v>
      </c>
      <c r="AH33" s="20">
        <f t="shared" si="3"/>
        <v>24656.940000000002</v>
      </c>
      <c r="AI33" s="20">
        <f t="shared" si="4"/>
        <v>2443.84</v>
      </c>
      <c r="AJ33" s="19">
        <f t="shared" si="5"/>
        <v>4.5</v>
      </c>
      <c r="AK33" s="19">
        <f t="shared" si="6"/>
        <v>1.9411764705882353</v>
      </c>
      <c r="AL33" s="19">
        <f t="shared" si="7"/>
        <v>0.51515151515151514</v>
      </c>
      <c r="AM33" s="19">
        <f t="shared" si="8"/>
        <v>1.389240506329114</v>
      </c>
      <c r="AN33" s="19">
        <f t="shared" si="9"/>
        <v>0.31329113924050633</v>
      </c>
      <c r="AO33" s="19">
        <f t="shared" si="10"/>
        <v>0.60459746919737045</v>
      </c>
      <c r="AP33" s="19">
        <f t="shared" si="11"/>
        <v>1.6539930299866186</v>
      </c>
      <c r="AQ33" s="19">
        <f t="shared" si="12"/>
        <v>0.31944807375388673</v>
      </c>
      <c r="AR33" s="19">
        <f t="shared" si="13"/>
        <v>0.60459746919737045</v>
      </c>
      <c r="AS33" s="20">
        <f t="shared" si="14"/>
        <v>2001.8408236683997</v>
      </c>
      <c r="AT33" s="20">
        <f t="shared" si="15"/>
        <v>1820.8011500209241</v>
      </c>
      <c r="AU33" s="19">
        <f t="shared" si="16"/>
        <v>6.5217391304347838E-2</v>
      </c>
      <c r="AV33" s="19">
        <f t="shared" si="17"/>
        <v>0.33909941143271788</v>
      </c>
      <c r="AX33" s="1">
        <v>66</v>
      </c>
      <c r="AY33" s="1"/>
      <c r="AZ33" s="1">
        <v>1080</v>
      </c>
      <c r="BA33" s="1">
        <v>375</v>
      </c>
      <c r="BB33" s="1">
        <v>0</v>
      </c>
      <c r="BC33" s="1">
        <v>346</v>
      </c>
      <c r="BD33" s="1">
        <v>98</v>
      </c>
      <c r="BE33" s="1">
        <v>114</v>
      </c>
      <c r="BF33" s="1"/>
      <c r="BG33" s="1">
        <v>76</v>
      </c>
      <c r="BH33" s="1">
        <v>39</v>
      </c>
      <c r="BI33" s="1">
        <v>30.9</v>
      </c>
      <c r="BJ33" s="1">
        <v>330</v>
      </c>
      <c r="BK33" s="1">
        <v>108</v>
      </c>
      <c r="BL33" s="1">
        <v>11.2</v>
      </c>
      <c r="BM33" s="1">
        <v>11.1</v>
      </c>
      <c r="BN33" s="1">
        <v>76</v>
      </c>
      <c r="BO33" s="1">
        <v>165</v>
      </c>
      <c r="BP33" s="1">
        <v>958</v>
      </c>
      <c r="BQ33" s="1">
        <v>106</v>
      </c>
      <c r="BR33" s="1">
        <v>15.8</v>
      </c>
      <c r="BS33" s="1">
        <v>4.29</v>
      </c>
      <c r="BT33" s="1">
        <v>10.5</v>
      </c>
      <c r="BU33" s="1">
        <v>1.35</v>
      </c>
      <c r="BV33" s="1">
        <v>6.23</v>
      </c>
      <c r="BW33" s="1"/>
      <c r="BX33" s="1">
        <v>2.39</v>
      </c>
      <c r="BY33" s="1"/>
      <c r="BZ33" s="1">
        <v>1.76</v>
      </c>
      <c r="CA33" s="1">
        <v>0.25</v>
      </c>
      <c r="CB33" s="1"/>
      <c r="CC33" s="1">
        <v>11.9</v>
      </c>
      <c r="CD33" s="1">
        <v>3</v>
      </c>
      <c r="CE33" s="1">
        <v>18.399999999999999</v>
      </c>
      <c r="CG33" s="22">
        <f t="shared" si="18"/>
        <v>314.04958677685954</v>
      </c>
      <c r="CH33" s="22">
        <f t="shared" si="64"/>
        <v>259.84251968503935</v>
      </c>
      <c r="CI33" s="22">
        <f t="shared" si="80"/>
        <v>9948.0789200415365</v>
      </c>
      <c r="CJ33" s="22">
        <f t="shared" si="81"/>
        <v>220.83333333333334</v>
      </c>
      <c r="CK33" s="22">
        <f t="shared" si="82"/>
        <v>101.28205128205128</v>
      </c>
      <c r="CL33" s="22">
        <v>63.059100000000001</v>
      </c>
      <c r="CM33" s="22">
        <f t="shared" si="83"/>
        <v>49.528301886792455</v>
      </c>
      <c r="CN33" s="22">
        <f t="shared" si="84"/>
        <v>35.904255319148938</v>
      </c>
      <c r="CO33" s="22">
        <f t="shared" si="85"/>
        <v>24.054054054054056</v>
      </c>
      <c r="CP33" s="22">
        <f t="shared" si="86"/>
        <v>0</v>
      </c>
      <c r="CQ33" s="22">
        <f t="shared" si="87"/>
        <v>14.662576687116564</v>
      </c>
      <c r="CR33" s="22">
        <f t="shared" si="88"/>
        <v>0</v>
      </c>
      <c r="CS33" s="22">
        <f t="shared" si="26"/>
        <v>10.602409638554217</v>
      </c>
      <c r="CT33" s="22">
        <f t="shared" si="71"/>
        <v>10</v>
      </c>
      <c r="CU33" s="22">
        <f t="shared" si="59"/>
        <v>10</v>
      </c>
      <c r="CV33" s="22">
        <f t="shared" si="28"/>
        <v>14.210526315789474</v>
      </c>
      <c r="CW33" s="22">
        <f t="shared" si="60"/>
        <v>0.70370370370370372</v>
      </c>
      <c r="CX33" s="20">
        <f t="shared" si="61"/>
        <v>207.04953703703703</v>
      </c>
      <c r="CY33" s="22"/>
      <c r="CZ33" s="22"/>
      <c r="DA33" s="22"/>
      <c r="DB33" s="22">
        <f t="shared" si="62"/>
        <v>3.0555555555555554</v>
      </c>
      <c r="DC33" s="22">
        <f t="shared" si="89"/>
        <v>90.756302521008394</v>
      </c>
      <c r="DD33" s="22"/>
      <c r="DE33" s="22"/>
      <c r="DF33" s="22"/>
      <c r="DG33" s="19">
        <f t="shared" si="31"/>
        <v>3.4951456310679614</v>
      </c>
      <c r="DH33" s="20">
        <f t="shared" si="32"/>
        <v>324.43342105263162</v>
      </c>
      <c r="DI33" s="19"/>
      <c r="DJ33" s="22"/>
      <c r="DK33" s="22"/>
      <c r="DL33" s="22"/>
      <c r="DM33" s="22">
        <f t="shared" si="91"/>
        <v>43.18181818181818</v>
      </c>
      <c r="DN33" s="22">
        <f t="shared" si="92"/>
        <v>0.10566037735849056</v>
      </c>
      <c r="DO33" s="22">
        <f t="shared" si="93"/>
        <v>8.9772727272727284</v>
      </c>
      <c r="DP33" s="20"/>
      <c r="DQ33" s="22"/>
      <c r="DR33" s="22"/>
      <c r="DS33" s="19"/>
      <c r="DT33" s="23"/>
      <c r="DU33" s="22">
        <f t="shared" si="44"/>
        <v>10.679611650485437</v>
      </c>
      <c r="DV33" s="22"/>
      <c r="DW33" s="22">
        <f t="shared" si="63"/>
        <v>0.30863879199225353</v>
      </c>
      <c r="DX33" s="22">
        <f t="shared" si="45"/>
        <v>32.727272727272727</v>
      </c>
      <c r="DY33" s="22">
        <f t="shared" si="46"/>
        <v>3.606060606060606</v>
      </c>
      <c r="DZ33" s="19"/>
      <c r="EA33" s="23"/>
      <c r="EB33" s="19">
        <f t="shared" si="90"/>
        <v>0.11018518518518519</v>
      </c>
      <c r="EC33" s="19"/>
      <c r="ED33" s="19"/>
      <c r="EE33" s="19">
        <f t="shared" si="48"/>
        <v>43.777769660102244</v>
      </c>
      <c r="EF33" s="19">
        <f t="shared" si="49"/>
        <v>3.5856627323711323</v>
      </c>
      <c r="EG33" s="19">
        <f t="shared" si="50"/>
        <v>9.1131589015759609</v>
      </c>
      <c r="EH33" s="19">
        <f t="shared" si="51"/>
        <v>18.250734916664584</v>
      </c>
      <c r="EI33" s="19">
        <f t="shared" si="52"/>
        <v>0.15380858905613437</v>
      </c>
      <c r="EJ33" s="19">
        <f t="shared" si="53"/>
        <v>7.5942990846466341</v>
      </c>
      <c r="EK33" s="19">
        <f t="shared" si="54"/>
        <v>12.660369486683059</v>
      </c>
      <c r="EL33" s="19">
        <f t="shared" si="55"/>
        <v>1.4707946328492849</v>
      </c>
      <c r="EM33" s="19">
        <f t="shared" si="56"/>
        <v>2.8550719343544939</v>
      </c>
      <c r="EN33" s="19">
        <f t="shared" si="57"/>
        <v>0.53833006169647035</v>
      </c>
      <c r="EO33" s="19">
        <f t="shared" si="58"/>
        <v>100.00000000000003</v>
      </c>
    </row>
    <row r="34" spans="1:145" s="18" customFormat="1">
      <c r="A34" s="1" t="s">
        <v>231</v>
      </c>
      <c r="B34" s="1">
        <v>4</v>
      </c>
      <c r="C34" s="1" t="s">
        <v>256</v>
      </c>
      <c r="D34" s="1" t="s">
        <v>244</v>
      </c>
      <c r="F34" s="1" t="s">
        <v>255</v>
      </c>
      <c r="G34" s="1">
        <v>39.840000000000003</v>
      </c>
      <c r="H34" s="1">
        <v>3.41</v>
      </c>
      <c r="I34" s="1">
        <v>8.93</v>
      </c>
      <c r="J34" s="1">
        <v>7.89</v>
      </c>
      <c r="K34" s="1">
        <v>0.26</v>
      </c>
      <c r="L34" s="1">
        <v>10.82</v>
      </c>
      <c r="M34" s="1">
        <v>13.64</v>
      </c>
      <c r="N34" s="1">
        <v>2.97</v>
      </c>
      <c r="O34" s="1">
        <v>1.21</v>
      </c>
      <c r="P34" s="1">
        <v>1.1100000000000001</v>
      </c>
      <c r="Q34" s="1">
        <v>3.26</v>
      </c>
      <c r="R34" s="15"/>
      <c r="S34" s="15">
        <f t="shared" si="0"/>
        <v>90.08</v>
      </c>
      <c r="T34" s="16"/>
      <c r="U34" s="1">
        <v>0.70486099999999996</v>
      </c>
      <c r="V34" s="1">
        <v>0.51237699999999997</v>
      </c>
      <c r="AF34" s="19">
        <f t="shared" si="1"/>
        <v>0.76167467305113168</v>
      </c>
      <c r="AG34" s="20">
        <f t="shared" si="2"/>
        <v>20442.95</v>
      </c>
      <c r="AH34" s="20">
        <f t="shared" si="3"/>
        <v>10045.42</v>
      </c>
      <c r="AI34" s="20">
        <f t="shared" si="4"/>
        <v>4844.0400000000009</v>
      </c>
      <c r="AJ34" s="19">
        <f t="shared" si="5"/>
        <v>4.18</v>
      </c>
      <c r="AK34" s="19">
        <f t="shared" si="6"/>
        <v>0.40740740740740738</v>
      </c>
      <c r="AL34" s="19">
        <f t="shared" si="7"/>
        <v>2.4545454545454546</v>
      </c>
      <c r="AM34" s="19">
        <f t="shared" si="8"/>
        <v>1.5274356103023516</v>
      </c>
      <c r="AN34" s="19">
        <f t="shared" si="9"/>
        <v>0.13549832026875699</v>
      </c>
      <c r="AO34" s="19">
        <f t="shared" si="10"/>
        <v>0.69378121462037112</v>
      </c>
      <c r="AP34" s="19">
        <f t="shared" si="11"/>
        <v>1.4413765880749425</v>
      </c>
      <c r="AQ34" s="19">
        <f t="shared" si="12"/>
        <v>0.28811487307169265</v>
      </c>
      <c r="AR34" s="19">
        <f t="shared" si="13"/>
        <v>0.69378121462037112</v>
      </c>
      <c r="AS34" s="20">
        <f t="shared" si="14"/>
        <v>1998.0656459373849</v>
      </c>
      <c r="AT34" s="20">
        <f t="shared" si="15"/>
        <v>2313.3879499552681</v>
      </c>
      <c r="AU34" s="19">
        <f t="shared" si="16"/>
        <v>3.0371485943775096E-2</v>
      </c>
      <c r="AV34" s="19">
        <f t="shared" si="17"/>
        <v>0.14666038996393271</v>
      </c>
      <c r="AX34" s="1">
        <v>68</v>
      </c>
      <c r="AY34" s="1"/>
      <c r="AZ34" s="1">
        <v>1225</v>
      </c>
      <c r="BA34" s="1">
        <v>346</v>
      </c>
      <c r="BB34" s="1">
        <v>39</v>
      </c>
      <c r="BC34" s="1">
        <v>325</v>
      </c>
      <c r="BD34" s="1">
        <v>204</v>
      </c>
      <c r="BE34" s="1">
        <v>50</v>
      </c>
      <c r="BF34" s="1"/>
      <c r="BG34" s="1">
        <v>55</v>
      </c>
      <c r="BH34" s="1">
        <v>111</v>
      </c>
      <c r="BI34" s="1">
        <v>35</v>
      </c>
      <c r="BJ34" s="1">
        <v>501</v>
      </c>
      <c r="BK34" s="1">
        <v>134</v>
      </c>
      <c r="BL34" s="1">
        <v>6.29</v>
      </c>
      <c r="BM34" s="1">
        <v>5.22</v>
      </c>
      <c r="BN34" s="1">
        <v>119</v>
      </c>
      <c r="BO34" s="1">
        <v>216</v>
      </c>
      <c r="BP34" s="1">
        <v>1367</v>
      </c>
      <c r="BQ34" s="1">
        <v>59.6</v>
      </c>
      <c r="BR34" s="1">
        <v>9.6</v>
      </c>
      <c r="BS34" s="1">
        <v>2.72</v>
      </c>
      <c r="BT34" s="1">
        <v>7.2</v>
      </c>
      <c r="BU34" s="1">
        <v>0.92</v>
      </c>
      <c r="BV34" s="1">
        <v>4.26</v>
      </c>
      <c r="BW34" s="1"/>
      <c r="BX34" s="1">
        <v>1.66</v>
      </c>
      <c r="BY34" s="1"/>
      <c r="BZ34" s="1">
        <v>1.22</v>
      </c>
      <c r="CA34" s="1">
        <v>0.17</v>
      </c>
      <c r="CB34" s="1"/>
      <c r="CC34" s="1">
        <v>16</v>
      </c>
      <c r="CD34" s="1">
        <v>2.2999999999999998</v>
      </c>
      <c r="CE34" s="1">
        <v>19</v>
      </c>
      <c r="CG34" s="22">
        <f t="shared" si="18"/>
        <v>491.73553719008265</v>
      </c>
      <c r="CH34" s="22">
        <f t="shared" si="64"/>
        <v>340.15748031496065</v>
      </c>
      <c r="CI34" s="22">
        <f t="shared" si="80"/>
        <v>14195.223260643821</v>
      </c>
      <c r="CJ34" s="22">
        <f t="shared" si="81"/>
        <v>124.16666666666667</v>
      </c>
      <c r="CK34" s="22">
        <f t="shared" si="82"/>
        <v>61.538461538461533</v>
      </c>
      <c r="CL34" s="22">
        <v>64.059100000000001</v>
      </c>
      <c r="CM34" s="22">
        <f t="shared" si="83"/>
        <v>33.962264150943398</v>
      </c>
      <c r="CN34" s="22">
        <f t="shared" si="84"/>
        <v>24.468085106382979</v>
      </c>
      <c r="CO34" s="22">
        <f t="shared" si="85"/>
        <v>16.447876447876446</v>
      </c>
      <c r="CP34" s="22">
        <f t="shared" si="86"/>
        <v>0</v>
      </c>
      <c r="CQ34" s="22">
        <f t="shared" si="87"/>
        <v>10.184049079754601</v>
      </c>
      <c r="CR34" s="22">
        <f t="shared" si="88"/>
        <v>0</v>
      </c>
      <c r="CS34" s="22">
        <f t="shared" si="26"/>
        <v>7.3493975903614448</v>
      </c>
      <c r="CT34" s="22">
        <f t="shared" si="71"/>
        <v>6.8</v>
      </c>
      <c r="CU34" s="22">
        <f t="shared" si="59"/>
        <v>9.1417910447761201</v>
      </c>
      <c r="CV34" s="22">
        <f t="shared" si="28"/>
        <v>10.294117647058824</v>
      </c>
      <c r="CW34" s="22">
        <f t="shared" si="60"/>
        <v>0.88805970149253732</v>
      </c>
      <c r="CX34" s="20">
        <f t="shared" si="61"/>
        <v>152.55932835820897</v>
      </c>
      <c r="CY34" s="22"/>
      <c r="CZ34" s="22"/>
      <c r="DA34" s="22"/>
      <c r="DB34" s="22">
        <f t="shared" si="62"/>
        <v>3.7388059701492535</v>
      </c>
      <c r="DC34" s="22">
        <f t="shared" si="89"/>
        <v>76.5625</v>
      </c>
      <c r="DD34" s="22"/>
      <c r="DE34" s="22"/>
      <c r="DF34" s="22"/>
      <c r="DG34" s="19">
        <f t="shared" si="31"/>
        <v>3.8285714285714287</v>
      </c>
      <c r="DH34" s="20">
        <f t="shared" si="32"/>
        <v>84.415294117647065</v>
      </c>
      <c r="DI34" s="19"/>
      <c r="DJ34" s="22"/>
      <c r="DK34" s="22"/>
      <c r="DL34" s="22"/>
      <c r="DM34" s="22">
        <f t="shared" si="91"/>
        <v>97.540983606557376</v>
      </c>
      <c r="DN34" s="22">
        <f t="shared" si="92"/>
        <v>0.10553691275167786</v>
      </c>
      <c r="DO34" s="22">
        <f t="shared" si="93"/>
        <v>7.8688524590163933</v>
      </c>
      <c r="DP34" s="20"/>
      <c r="DQ34" s="22"/>
      <c r="DR34" s="22"/>
      <c r="DS34" s="19"/>
      <c r="DT34" s="23"/>
      <c r="DU34" s="22">
        <f t="shared" si="44"/>
        <v>14.314285714285715</v>
      </c>
      <c r="DV34" s="22"/>
      <c r="DW34" s="22">
        <f t="shared" si="63"/>
        <v>0.1039589655019495</v>
      </c>
      <c r="DX34" s="22">
        <f t="shared" si="45"/>
        <v>26.746506986027946</v>
      </c>
      <c r="DY34" s="22">
        <f t="shared" si="46"/>
        <v>3.1936127744510978</v>
      </c>
      <c r="DZ34" s="19"/>
      <c r="EA34" s="23"/>
      <c r="EB34" s="19">
        <f t="shared" si="90"/>
        <v>0.11940298507462686</v>
      </c>
      <c r="EC34" s="19"/>
      <c r="ED34" s="19"/>
      <c r="EE34" s="19">
        <f t="shared" si="48"/>
        <v>44.227353463587924</v>
      </c>
      <c r="EF34" s="19">
        <f t="shared" si="49"/>
        <v>3.785523978685613</v>
      </c>
      <c r="EG34" s="19">
        <f t="shared" si="50"/>
        <v>9.9134103019538191</v>
      </c>
      <c r="EH34" s="19">
        <f t="shared" si="51"/>
        <v>8.7588809946714026</v>
      </c>
      <c r="EI34" s="19">
        <f t="shared" si="52"/>
        <v>0.28863232682060391</v>
      </c>
      <c r="EJ34" s="19">
        <f t="shared" si="53"/>
        <v>12.011545293072825</v>
      </c>
      <c r="EK34" s="19">
        <f t="shared" si="54"/>
        <v>15.142095914742452</v>
      </c>
      <c r="EL34" s="19">
        <f t="shared" si="55"/>
        <v>3.2970692717584371</v>
      </c>
      <c r="EM34" s="19">
        <f t="shared" si="56"/>
        <v>1.3432504440497337</v>
      </c>
      <c r="EN34" s="19">
        <f t="shared" si="57"/>
        <v>1.2322380106571937</v>
      </c>
      <c r="EO34" s="19">
        <f t="shared" si="58"/>
        <v>100</v>
      </c>
    </row>
    <row r="35" spans="1:145" s="18" customFormat="1">
      <c r="A35" s="1" t="s">
        <v>231</v>
      </c>
      <c r="B35" s="1">
        <v>4</v>
      </c>
      <c r="C35" s="1" t="s">
        <v>256</v>
      </c>
      <c r="D35" s="1" t="s">
        <v>244</v>
      </c>
      <c r="F35" s="1" t="s">
        <v>255</v>
      </c>
      <c r="G35" s="1">
        <v>41.07</v>
      </c>
      <c r="H35" s="1">
        <v>4.58</v>
      </c>
      <c r="I35" s="1">
        <v>8.9</v>
      </c>
      <c r="J35" s="1">
        <v>12.52</v>
      </c>
      <c r="K35" s="1">
        <v>0.18</v>
      </c>
      <c r="L35" s="1">
        <v>15.63</v>
      </c>
      <c r="M35" s="1">
        <v>11.81</v>
      </c>
      <c r="N35" s="1">
        <v>2.78</v>
      </c>
      <c r="O35" s="1">
        <v>1.26</v>
      </c>
      <c r="P35" s="1">
        <v>0.47</v>
      </c>
      <c r="Q35" s="1">
        <v>2.76</v>
      </c>
      <c r="R35" s="15"/>
      <c r="S35" s="15">
        <f t="shared" si="0"/>
        <v>99.2</v>
      </c>
      <c r="T35" s="16"/>
      <c r="U35" s="1">
        <v>0.70508000000000004</v>
      </c>
      <c r="V35" s="1">
        <v>0.51240600000000003</v>
      </c>
      <c r="AF35" s="19">
        <f t="shared" si="1"/>
        <v>0.74420639234761921</v>
      </c>
      <c r="AG35" s="20">
        <f t="shared" si="2"/>
        <v>27457.100000000002</v>
      </c>
      <c r="AH35" s="20">
        <f t="shared" si="3"/>
        <v>10460.52</v>
      </c>
      <c r="AI35" s="20">
        <f t="shared" si="4"/>
        <v>2051.08</v>
      </c>
      <c r="AJ35" s="19">
        <f t="shared" si="5"/>
        <v>4.04</v>
      </c>
      <c r="AK35" s="19">
        <f t="shared" si="6"/>
        <v>0.45323741007194246</v>
      </c>
      <c r="AL35" s="19">
        <f t="shared" si="7"/>
        <v>2.2063492063492061</v>
      </c>
      <c r="AM35" s="19">
        <f t="shared" si="8"/>
        <v>1.3269662921348315</v>
      </c>
      <c r="AN35" s="19">
        <f t="shared" si="9"/>
        <v>0.14157303370786517</v>
      </c>
      <c r="AO35" s="19">
        <f t="shared" si="10"/>
        <v>0.66708160141139761</v>
      </c>
      <c r="AP35" s="19">
        <f t="shared" si="11"/>
        <v>1.49906697753951</v>
      </c>
      <c r="AQ35" s="19">
        <f t="shared" si="12"/>
        <v>0.32471100668411951</v>
      </c>
      <c r="AR35" s="19">
        <f t="shared" si="13"/>
        <v>0.66708160141139761</v>
      </c>
      <c r="AS35" s="20">
        <f t="shared" si="14"/>
        <v>1837.0416339051835</v>
      </c>
      <c r="AT35" s="20">
        <f t="shared" si="15"/>
        <v>2143.6729673396526</v>
      </c>
      <c r="AU35" s="19">
        <f t="shared" si="16"/>
        <v>3.0679327976625273E-2</v>
      </c>
      <c r="AV35" s="19">
        <f t="shared" si="17"/>
        <v>0.15323552565662346</v>
      </c>
      <c r="AX35" s="1">
        <v>103</v>
      </c>
      <c r="AY35" s="1"/>
      <c r="AZ35" s="1">
        <v>1654</v>
      </c>
      <c r="BA35" s="1">
        <v>1341</v>
      </c>
      <c r="BB35" s="1">
        <v>37</v>
      </c>
      <c r="BC35" s="1">
        <v>413</v>
      </c>
      <c r="BD35" s="1">
        <v>453</v>
      </c>
      <c r="BE35" s="1">
        <v>73</v>
      </c>
      <c r="BF35" s="1"/>
      <c r="BG35" s="1">
        <v>81</v>
      </c>
      <c r="BH35" s="1">
        <v>112</v>
      </c>
      <c r="BI35" s="1">
        <v>15.2</v>
      </c>
      <c r="BJ35" s="1">
        <v>259</v>
      </c>
      <c r="BK35" s="1">
        <v>106</v>
      </c>
      <c r="BL35" s="1">
        <v>7.88</v>
      </c>
      <c r="BM35" s="1">
        <v>7.31</v>
      </c>
      <c r="BN35" s="1">
        <v>75</v>
      </c>
      <c r="BO35" s="1">
        <v>147</v>
      </c>
      <c r="BP35" s="1">
        <v>1098</v>
      </c>
      <c r="BQ35" s="1">
        <v>82.2</v>
      </c>
      <c r="BR35" s="1">
        <v>13.2</v>
      </c>
      <c r="BS35" s="1">
        <v>3.99</v>
      </c>
      <c r="BT35" s="1">
        <v>9.6999999999999993</v>
      </c>
      <c r="BU35" s="1">
        <v>1.28</v>
      </c>
      <c r="BV35" s="1">
        <v>6.08</v>
      </c>
      <c r="BW35" s="1"/>
      <c r="BX35" s="1">
        <v>2.5099999999999998</v>
      </c>
      <c r="BY35" s="1"/>
      <c r="BZ35" s="1">
        <v>2.0299999999999998</v>
      </c>
      <c r="CA35" s="1">
        <v>0.3</v>
      </c>
      <c r="CB35" s="1"/>
      <c r="CC35" s="1">
        <v>8.64</v>
      </c>
      <c r="CD35" s="1">
        <v>1.9</v>
      </c>
      <c r="CE35" s="1">
        <v>15.8</v>
      </c>
      <c r="CG35" s="22">
        <f t="shared" si="18"/>
        <v>309.91735537190084</v>
      </c>
      <c r="CH35" s="22">
        <f t="shared" si="64"/>
        <v>231.49606299212599</v>
      </c>
      <c r="CI35" s="22">
        <f t="shared" si="80"/>
        <v>11401.869158878506</v>
      </c>
      <c r="CJ35" s="22">
        <f t="shared" si="81"/>
        <v>171.25</v>
      </c>
      <c r="CK35" s="22">
        <f t="shared" si="82"/>
        <v>84.615384615384613</v>
      </c>
      <c r="CL35" s="22">
        <v>65.059100000000001</v>
      </c>
      <c r="CM35" s="22">
        <f t="shared" si="83"/>
        <v>45.75471698113207</v>
      </c>
      <c r="CN35" s="22">
        <f t="shared" si="84"/>
        <v>34.042553191489361</v>
      </c>
      <c r="CO35" s="22">
        <f t="shared" si="85"/>
        <v>23.474903474903474</v>
      </c>
      <c r="CP35" s="22">
        <f t="shared" si="86"/>
        <v>0</v>
      </c>
      <c r="CQ35" s="22">
        <f t="shared" si="87"/>
        <v>15.398773006134967</v>
      </c>
      <c r="CR35" s="22">
        <f t="shared" si="88"/>
        <v>0</v>
      </c>
      <c r="CS35" s="22">
        <f t="shared" si="26"/>
        <v>12.2289156626506</v>
      </c>
      <c r="CT35" s="22">
        <f t="shared" si="71"/>
        <v>11.999999999999998</v>
      </c>
      <c r="CU35" s="22">
        <f t="shared" si="59"/>
        <v>15.60377358490566</v>
      </c>
      <c r="CV35" s="22">
        <f t="shared" si="28"/>
        <v>22.053333333333335</v>
      </c>
      <c r="CW35" s="22">
        <f t="shared" si="60"/>
        <v>0.70754716981132071</v>
      </c>
      <c r="CX35" s="20">
        <f t="shared" si="61"/>
        <v>259.02924528301889</v>
      </c>
      <c r="CY35" s="22"/>
      <c r="CZ35" s="22"/>
      <c r="DA35" s="22"/>
      <c r="DB35" s="22">
        <f t="shared" si="62"/>
        <v>2.4433962264150941</v>
      </c>
      <c r="DC35" s="22">
        <f t="shared" si="89"/>
        <v>191.43518518518516</v>
      </c>
      <c r="DD35" s="22"/>
      <c r="DE35" s="22"/>
      <c r="DF35" s="22"/>
      <c r="DG35" s="19">
        <f t="shared" si="31"/>
        <v>6.9736842105263159</v>
      </c>
      <c r="DH35" s="20">
        <f t="shared" si="32"/>
        <v>139.4736</v>
      </c>
      <c r="DI35" s="19"/>
      <c r="DJ35" s="22"/>
      <c r="DK35" s="22"/>
      <c r="DL35" s="22"/>
      <c r="DM35" s="22">
        <f t="shared" si="91"/>
        <v>36.945812807881779</v>
      </c>
      <c r="DN35" s="22">
        <f t="shared" si="92"/>
        <v>9.5863746958637461E-2</v>
      </c>
      <c r="DO35" s="22">
        <f t="shared" si="93"/>
        <v>6.5024630541871922</v>
      </c>
      <c r="DP35" s="20"/>
      <c r="DQ35" s="22"/>
      <c r="DR35" s="22"/>
      <c r="DS35" s="19"/>
      <c r="DT35" s="23"/>
      <c r="DU35" s="22">
        <f t="shared" si="44"/>
        <v>17.039473684210527</v>
      </c>
      <c r="DV35" s="22"/>
      <c r="DW35" s="22">
        <f t="shared" si="63"/>
        <v>0.21906641913795744</v>
      </c>
      <c r="DX35" s="22">
        <f t="shared" si="45"/>
        <v>40.926640926640928</v>
      </c>
      <c r="DY35" s="22">
        <f t="shared" si="46"/>
        <v>3.3359073359073359</v>
      </c>
      <c r="DZ35" s="19"/>
      <c r="EA35" s="23"/>
      <c r="EB35" s="19">
        <f t="shared" si="90"/>
        <v>8.1509433962264149E-2</v>
      </c>
      <c r="EC35" s="19"/>
      <c r="ED35" s="19"/>
      <c r="EE35" s="19">
        <f t="shared" si="48"/>
        <v>41.401209677419352</v>
      </c>
      <c r="EF35" s="19">
        <f t="shared" si="49"/>
        <v>4.616935483870968</v>
      </c>
      <c r="EG35" s="19">
        <f t="shared" si="50"/>
        <v>8.9717741935483861</v>
      </c>
      <c r="EH35" s="19">
        <f t="shared" si="51"/>
        <v>12.620967741935484</v>
      </c>
      <c r="EI35" s="19">
        <f t="shared" si="52"/>
        <v>0.18145161290322581</v>
      </c>
      <c r="EJ35" s="19">
        <f t="shared" si="53"/>
        <v>15.756048387096774</v>
      </c>
      <c r="EK35" s="19">
        <f t="shared" si="54"/>
        <v>11.90524193548387</v>
      </c>
      <c r="EL35" s="19">
        <f t="shared" si="55"/>
        <v>2.8024193548387095</v>
      </c>
      <c r="EM35" s="19">
        <f t="shared" si="56"/>
        <v>1.2701612903225805</v>
      </c>
      <c r="EN35" s="19">
        <f t="shared" si="57"/>
        <v>0.47379032258064513</v>
      </c>
      <c r="EO35" s="19">
        <f t="shared" si="58"/>
        <v>99.999999999999986</v>
      </c>
    </row>
    <row r="36" spans="1:145" s="18" customFormat="1">
      <c r="A36" s="1" t="s">
        <v>231</v>
      </c>
      <c r="B36" s="1">
        <v>4</v>
      </c>
      <c r="C36" s="1" t="s">
        <v>256</v>
      </c>
      <c r="D36" s="1" t="s">
        <v>244</v>
      </c>
      <c r="F36" s="1" t="s">
        <v>255</v>
      </c>
      <c r="G36" s="1">
        <v>38.71</v>
      </c>
      <c r="H36" s="1">
        <v>4.68</v>
      </c>
      <c r="I36" s="1">
        <v>9.4</v>
      </c>
      <c r="J36" s="1">
        <v>16.07</v>
      </c>
      <c r="K36" s="1">
        <v>0.25</v>
      </c>
      <c r="L36" s="1">
        <v>10.42</v>
      </c>
      <c r="M36" s="1">
        <v>13.89</v>
      </c>
      <c r="N36" s="1">
        <v>2.5099999999999998</v>
      </c>
      <c r="O36" s="1">
        <v>3.04</v>
      </c>
      <c r="P36" s="1">
        <v>0.91</v>
      </c>
      <c r="Q36" s="1">
        <v>0.7</v>
      </c>
      <c r="R36" s="15"/>
      <c r="S36" s="15">
        <f t="shared" si="0"/>
        <v>99.88000000000001</v>
      </c>
      <c r="T36" s="16"/>
      <c r="U36" s="1">
        <v>0.70487999999999995</v>
      </c>
      <c r="V36" s="1">
        <v>0.51236199999999998</v>
      </c>
      <c r="AF36" s="19">
        <f t="shared" si="1"/>
        <v>0.60177239627232237</v>
      </c>
      <c r="AG36" s="20">
        <f t="shared" si="2"/>
        <v>28056.6</v>
      </c>
      <c r="AH36" s="20">
        <f t="shared" si="3"/>
        <v>25238.080000000002</v>
      </c>
      <c r="AI36" s="20">
        <f t="shared" si="4"/>
        <v>3971.2400000000002</v>
      </c>
      <c r="AJ36" s="19">
        <f t="shared" si="5"/>
        <v>5.55</v>
      </c>
      <c r="AK36" s="19">
        <f t="shared" si="6"/>
        <v>1.2111553784860558</v>
      </c>
      <c r="AL36" s="19">
        <f t="shared" si="7"/>
        <v>0.82565789473684204</v>
      </c>
      <c r="AM36" s="19">
        <f t="shared" si="8"/>
        <v>1.4776595744680852</v>
      </c>
      <c r="AN36" s="19">
        <f t="shared" si="9"/>
        <v>0.3234042553191489</v>
      </c>
      <c r="AO36" s="19">
        <f t="shared" si="10"/>
        <v>0.78930811870687667</v>
      </c>
      <c r="AP36" s="19">
        <f t="shared" si="11"/>
        <v>1.2669323630400506</v>
      </c>
      <c r="AQ36" s="19">
        <f t="shared" si="12"/>
        <v>0.28769808108261435</v>
      </c>
      <c r="AR36" s="19">
        <f t="shared" si="13"/>
        <v>0.78930811870687667</v>
      </c>
      <c r="AS36" s="20">
        <f t="shared" si="14"/>
        <v>1460.071396164059</v>
      </c>
      <c r="AT36" s="20">
        <f t="shared" si="15"/>
        <v>2097.9234111976343</v>
      </c>
      <c r="AU36" s="19">
        <f t="shared" si="16"/>
        <v>7.8532678894342553E-2</v>
      </c>
      <c r="AV36" s="19">
        <f t="shared" si="17"/>
        <v>0.35004562497176667</v>
      </c>
      <c r="AX36" s="1">
        <v>86</v>
      </c>
      <c r="AY36" s="1"/>
      <c r="AZ36" s="1">
        <v>1463</v>
      </c>
      <c r="BA36" s="1">
        <v>85</v>
      </c>
      <c r="BB36" s="1">
        <v>41</v>
      </c>
      <c r="BC36" s="1">
        <v>421</v>
      </c>
      <c r="BD36" s="1">
        <v>98</v>
      </c>
      <c r="BE36" s="1">
        <v>62</v>
      </c>
      <c r="BF36" s="1"/>
      <c r="BG36" s="1">
        <v>92</v>
      </c>
      <c r="BH36" s="1">
        <v>148</v>
      </c>
      <c r="BI36" s="1">
        <v>27.9</v>
      </c>
      <c r="BJ36" s="1">
        <v>475</v>
      </c>
      <c r="BK36" s="1">
        <v>178</v>
      </c>
      <c r="BL36" s="1">
        <v>6.6</v>
      </c>
      <c r="BM36" s="1">
        <v>6.08</v>
      </c>
      <c r="BN36" s="1">
        <v>125</v>
      </c>
      <c r="BO36" s="1">
        <v>242</v>
      </c>
      <c r="BP36" s="1">
        <v>1689</v>
      </c>
      <c r="BQ36" s="1">
        <v>60</v>
      </c>
      <c r="BR36" s="1">
        <v>9.6999999999999993</v>
      </c>
      <c r="BS36" s="1">
        <v>2.87</v>
      </c>
      <c r="BT36" s="1">
        <v>6.9</v>
      </c>
      <c r="BU36" s="1">
        <v>0.91</v>
      </c>
      <c r="BV36" s="1">
        <v>4.22</v>
      </c>
      <c r="BW36" s="1"/>
      <c r="BX36" s="1">
        <v>1.57</v>
      </c>
      <c r="BY36" s="1"/>
      <c r="BZ36" s="1">
        <v>1.18</v>
      </c>
      <c r="CA36" s="1">
        <v>0.17</v>
      </c>
      <c r="CB36" s="1"/>
      <c r="CC36" s="1">
        <v>14.5</v>
      </c>
      <c r="CD36" s="1">
        <v>3.4</v>
      </c>
      <c r="CE36" s="1">
        <v>21.2</v>
      </c>
      <c r="CG36" s="22">
        <f t="shared" si="18"/>
        <v>516.52892561983469</v>
      </c>
      <c r="CH36" s="22">
        <f t="shared" si="64"/>
        <v>381.10236220472439</v>
      </c>
      <c r="CI36" s="22">
        <f t="shared" si="80"/>
        <v>17538.940809968848</v>
      </c>
      <c r="CJ36" s="22">
        <f t="shared" si="81"/>
        <v>125</v>
      </c>
      <c r="CK36" s="22">
        <f t="shared" si="82"/>
        <v>62.179487179487175</v>
      </c>
      <c r="CL36" s="22">
        <v>66.059100000000001</v>
      </c>
      <c r="CM36" s="22">
        <f t="shared" si="83"/>
        <v>32.547169811320757</v>
      </c>
      <c r="CN36" s="22">
        <f t="shared" si="84"/>
        <v>24.202127659574469</v>
      </c>
      <c r="CO36" s="22">
        <f t="shared" si="85"/>
        <v>16.293436293436294</v>
      </c>
      <c r="CP36" s="22">
        <f t="shared" si="86"/>
        <v>0</v>
      </c>
      <c r="CQ36" s="22">
        <f t="shared" si="87"/>
        <v>9.6319018404907979</v>
      </c>
      <c r="CR36" s="22">
        <f t="shared" si="88"/>
        <v>0</v>
      </c>
      <c r="CS36" s="22">
        <f t="shared" si="26"/>
        <v>7.1084337349397586</v>
      </c>
      <c r="CT36" s="22">
        <f t="shared" si="71"/>
        <v>6.8</v>
      </c>
      <c r="CU36" s="22">
        <f t="shared" si="59"/>
        <v>8.2191011235955056</v>
      </c>
      <c r="CV36" s="22">
        <f t="shared" si="28"/>
        <v>11.704000000000001</v>
      </c>
      <c r="CW36" s="22">
        <f t="shared" si="60"/>
        <v>0.702247191011236</v>
      </c>
      <c r="CX36" s="20">
        <f t="shared" si="61"/>
        <v>157.62134831460673</v>
      </c>
      <c r="CY36" s="22"/>
      <c r="CZ36" s="22"/>
      <c r="DA36" s="22"/>
      <c r="DB36" s="22">
        <f t="shared" si="62"/>
        <v>2.6685393258426968</v>
      </c>
      <c r="DC36" s="22">
        <f t="shared" si="89"/>
        <v>100.89655172413794</v>
      </c>
      <c r="DD36" s="22"/>
      <c r="DE36" s="22"/>
      <c r="DF36" s="22"/>
      <c r="DG36" s="19">
        <f t="shared" si="31"/>
        <v>6.3799283154121866</v>
      </c>
      <c r="DH36" s="20">
        <f t="shared" si="32"/>
        <v>201.90464</v>
      </c>
      <c r="DI36" s="19"/>
      <c r="DJ36" s="22"/>
      <c r="DK36" s="22"/>
      <c r="DL36" s="22"/>
      <c r="DM36" s="22">
        <f t="shared" si="91"/>
        <v>105.93220338983052</v>
      </c>
      <c r="DN36" s="22">
        <f t="shared" si="92"/>
        <v>0.11</v>
      </c>
      <c r="DO36" s="22">
        <f t="shared" si="93"/>
        <v>8.2203389830508478</v>
      </c>
      <c r="DP36" s="20"/>
      <c r="DQ36" s="22"/>
      <c r="DR36" s="22"/>
      <c r="DS36" s="19"/>
      <c r="DT36" s="23"/>
      <c r="DU36" s="22">
        <f t="shared" si="44"/>
        <v>17.025089605734767</v>
      </c>
      <c r="DV36" s="22"/>
      <c r="DW36" s="22">
        <f t="shared" si="63"/>
        <v>0.1811241388408602</v>
      </c>
      <c r="DX36" s="22">
        <f t="shared" si="45"/>
        <v>37.473684210526315</v>
      </c>
      <c r="DY36" s="22">
        <f t="shared" si="46"/>
        <v>3.0526315789473686</v>
      </c>
      <c r="DZ36" s="19"/>
      <c r="EA36" s="23"/>
      <c r="EB36" s="19">
        <f t="shared" si="90"/>
        <v>8.1460674157303375E-2</v>
      </c>
      <c r="EC36" s="19"/>
      <c r="ED36" s="19"/>
      <c r="EE36" s="19">
        <f t="shared" si="48"/>
        <v>38.756507809371243</v>
      </c>
      <c r="EF36" s="19">
        <f t="shared" si="49"/>
        <v>4.6856227472967555</v>
      </c>
      <c r="EG36" s="19">
        <f t="shared" si="50"/>
        <v>9.4112935522627144</v>
      </c>
      <c r="EH36" s="19">
        <f t="shared" si="51"/>
        <v>16.089307168602321</v>
      </c>
      <c r="EI36" s="19">
        <f t="shared" si="52"/>
        <v>0.25030036043251902</v>
      </c>
      <c r="EJ36" s="19">
        <f t="shared" si="53"/>
        <v>10.432519022827393</v>
      </c>
      <c r="EK36" s="19">
        <f t="shared" si="54"/>
        <v>13.906688025630755</v>
      </c>
      <c r="EL36" s="19">
        <f t="shared" si="55"/>
        <v>2.5130156187424904</v>
      </c>
      <c r="EM36" s="19">
        <f t="shared" si="56"/>
        <v>3.0436523828594311</v>
      </c>
      <c r="EN36" s="19">
        <f t="shared" si="57"/>
        <v>0.91109331197436916</v>
      </c>
      <c r="EO36" s="19">
        <f t="shared" si="58"/>
        <v>99.999999999999986</v>
      </c>
    </row>
    <row r="37" spans="1:145" s="18" customFormat="1">
      <c r="A37" s="1" t="s">
        <v>231</v>
      </c>
      <c r="B37" s="1">
        <v>4</v>
      </c>
      <c r="C37" s="1" t="s">
        <v>256</v>
      </c>
      <c r="D37" s="1" t="s">
        <v>244</v>
      </c>
      <c r="F37" s="1" t="s">
        <v>255</v>
      </c>
      <c r="G37" s="1">
        <v>41.74</v>
      </c>
      <c r="H37" s="1">
        <v>3.74</v>
      </c>
      <c r="I37" s="1">
        <v>7.42</v>
      </c>
      <c r="J37" s="1">
        <v>13.45</v>
      </c>
      <c r="K37" s="1">
        <v>0.2</v>
      </c>
      <c r="L37" s="1">
        <v>16.59</v>
      </c>
      <c r="M37" s="1">
        <v>12.64</v>
      </c>
      <c r="N37" s="1">
        <v>2.5</v>
      </c>
      <c r="O37" s="1">
        <v>0.39</v>
      </c>
      <c r="P37" s="1">
        <v>0.49</v>
      </c>
      <c r="Q37" s="1">
        <v>1.84</v>
      </c>
      <c r="R37" s="15"/>
      <c r="S37" s="15">
        <f t="shared" ref="S37:S68" si="94">G37+H37+I37+J37+K37+L37+M37+N37+O37+P37</f>
        <v>99.160000000000011</v>
      </c>
      <c r="T37" s="16"/>
      <c r="U37" s="1">
        <v>0.70445000000000002</v>
      </c>
      <c r="V37" s="1">
        <v>0.51244599999999996</v>
      </c>
      <c r="AF37" s="19">
        <f t="shared" ref="AF37:AF68" si="95">(L37/40.31)/((L37/40.31)+(J37-(J37*0.15))*0.8998/71.85)</f>
        <v>0.74190696406369216</v>
      </c>
      <c r="AG37" s="20">
        <f t="shared" ref="AG37:AG68" si="96">H37*5995</f>
        <v>22421.300000000003</v>
      </c>
      <c r="AH37" s="20">
        <f t="shared" ref="AH37:AH68" si="97">O37*8302</f>
        <v>3237.78</v>
      </c>
      <c r="AI37" s="20">
        <f t="shared" ref="AI37:AI68" si="98">P37*4364</f>
        <v>2138.36</v>
      </c>
      <c r="AJ37" s="19">
        <f t="shared" ref="AJ37:AJ68" si="99">N37+O37</f>
        <v>2.89</v>
      </c>
      <c r="AK37" s="19">
        <f t="shared" ref="AK37:AK68" si="100">O37/N37</f>
        <v>0.156</v>
      </c>
      <c r="AL37" s="19">
        <f t="shared" ref="AL37:AL68" si="101">N37/O37</f>
        <v>6.4102564102564097</v>
      </c>
      <c r="AM37" s="19">
        <f t="shared" ref="AM37:AM68" si="102">EK37/EG37</f>
        <v>1.7035040431266846</v>
      </c>
      <c r="AN37" s="19">
        <f t="shared" ref="AN37:AN68" si="103">O37/I37</f>
        <v>5.2560646900269542E-2</v>
      </c>
      <c r="AO37" s="19">
        <f t="shared" ref="AO37:AO68" si="104">(EL37/61.98+EM37/94.2)/(EG37/101.96)</f>
        <v>0.6111515312334499</v>
      </c>
      <c r="AP37" s="19">
        <f t="shared" ref="AP37:AP68" si="105">1/AO37</f>
        <v>1.6362554111281713</v>
      </c>
      <c r="AQ37" s="19">
        <f t="shared" ref="AQ37:AQ68" si="106">(EG37/101.96)/((EK37/56.08)+(EL37/61.98)+(EM37/94.2))</f>
        <v>0.26966380727822536</v>
      </c>
      <c r="AR37" s="19">
        <f t="shared" ref="AR37:AR68" si="107">(EL37/61.98+EM37/94.2)/(EG37/101.96)</f>
        <v>0.6111515312334499</v>
      </c>
      <c r="AS37" s="20">
        <f t="shared" ref="AS37:AS68" si="108">1000*(4*(EE37/60.08)-11*(EL37/61.98+EM37/94.2)-2*(EH37/159.69+EF37/79.87))</f>
        <v>2044.8012412429098</v>
      </c>
      <c r="AT37" s="20">
        <f t="shared" ref="AT37:AT68" si="109">1000*(6*(EK37/56.08)+2*(EJ37/40.3)+EG37/101.96)</f>
        <v>2267.4994746559692</v>
      </c>
      <c r="AU37" s="19">
        <f t="shared" ref="AU37:AU68" si="110">O37/G37</f>
        <v>9.3435553425970288E-3</v>
      </c>
      <c r="AV37" s="19">
        <f t="shared" ref="AV37:AV68" si="111">(O37/94.2)/(I37/101.96)</f>
        <v>5.6890483630058199E-2</v>
      </c>
      <c r="AX37" s="1">
        <v>36</v>
      </c>
      <c r="AY37" s="1"/>
      <c r="AZ37" s="1">
        <v>879</v>
      </c>
      <c r="BA37" s="1">
        <v>1697</v>
      </c>
      <c r="BB37" s="1">
        <v>34</v>
      </c>
      <c r="BC37" s="1">
        <v>357</v>
      </c>
      <c r="BD37" s="1">
        <v>495</v>
      </c>
      <c r="BE37" s="1">
        <v>79</v>
      </c>
      <c r="BF37" s="1"/>
      <c r="BG37" s="1">
        <v>110</v>
      </c>
      <c r="BH37" s="1">
        <v>113</v>
      </c>
      <c r="BI37" s="1">
        <v>19.2</v>
      </c>
      <c r="BJ37" s="1">
        <v>266</v>
      </c>
      <c r="BK37" s="1">
        <v>86</v>
      </c>
      <c r="BL37" s="1">
        <v>13.4</v>
      </c>
      <c r="BM37" s="1">
        <v>8.6</v>
      </c>
      <c r="BN37" s="1">
        <v>62</v>
      </c>
      <c r="BO37" s="1">
        <v>125</v>
      </c>
      <c r="BP37" s="1">
        <v>807</v>
      </c>
      <c r="BQ37" s="1">
        <v>108</v>
      </c>
      <c r="BR37" s="1">
        <v>18.600000000000001</v>
      </c>
      <c r="BS37" s="1">
        <v>5.22</v>
      </c>
      <c r="BT37" s="1">
        <v>14.3</v>
      </c>
      <c r="BU37" s="1">
        <v>1.93</v>
      </c>
      <c r="BV37" s="1">
        <v>9.25</v>
      </c>
      <c r="BW37" s="1"/>
      <c r="BX37" s="1">
        <v>3.55</v>
      </c>
      <c r="BY37" s="1"/>
      <c r="BZ37" s="1">
        <v>2.6</v>
      </c>
      <c r="CA37" s="1">
        <v>0.35</v>
      </c>
      <c r="CB37" s="1"/>
      <c r="CC37" s="1">
        <v>7.35</v>
      </c>
      <c r="CD37" s="1">
        <v>1.5</v>
      </c>
      <c r="CE37" s="1">
        <v>15.7</v>
      </c>
      <c r="CG37" s="22">
        <f t="shared" si="18"/>
        <v>256.198347107438</v>
      </c>
      <c r="CH37" s="22">
        <f t="shared" si="64"/>
        <v>196.85039370078741</v>
      </c>
      <c r="CI37" s="22">
        <f t="shared" si="80"/>
        <v>8380.0623052959509</v>
      </c>
      <c r="CJ37" s="22">
        <f t="shared" si="81"/>
        <v>225</v>
      </c>
      <c r="CK37" s="22">
        <f t="shared" si="82"/>
        <v>119.23076923076924</v>
      </c>
      <c r="CL37" s="22">
        <v>67.059100000000001</v>
      </c>
      <c r="CM37" s="22">
        <f t="shared" si="83"/>
        <v>67.452830188679258</v>
      </c>
      <c r="CN37" s="22">
        <f t="shared" si="84"/>
        <v>51.329787234042549</v>
      </c>
      <c r="CO37" s="22">
        <f t="shared" si="85"/>
        <v>35.714285714285715</v>
      </c>
      <c r="CP37" s="22">
        <f t="shared" si="86"/>
        <v>0</v>
      </c>
      <c r="CQ37" s="22">
        <f t="shared" si="87"/>
        <v>21.779141104294478</v>
      </c>
      <c r="CR37" s="22">
        <f t="shared" si="88"/>
        <v>0</v>
      </c>
      <c r="CS37" s="22">
        <f t="shared" si="26"/>
        <v>15.662650602409638</v>
      </c>
      <c r="CT37" s="22">
        <f t="shared" si="71"/>
        <v>13.999999999999998</v>
      </c>
      <c r="CU37" s="22">
        <f t="shared" si="59"/>
        <v>10.220930232558139</v>
      </c>
      <c r="CV37" s="22">
        <f t="shared" si="28"/>
        <v>14.17741935483871</v>
      </c>
      <c r="CW37" s="22">
        <f t="shared" si="60"/>
        <v>0.72093023255813948</v>
      </c>
      <c r="CX37" s="20">
        <f t="shared" si="61"/>
        <v>260.71279069767445</v>
      </c>
      <c r="CY37" s="22"/>
      <c r="CZ37" s="22"/>
      <c r="DA37" s="22"/>
      <c r="DB37" s="22">
        <f t="shared" si="62"/>
        <v>3.0930232558139537</v>
      </c>
      <c r="DC37" s="22">
        <f t="shared" si="89"/>
        <v>119.59183673469389</v>
      </c>
      <c r="DD37" s="22"/>
      <c r="DE37" s="22"/>
      <c r="DF37" s="22"/>
      <c r="DG37" s="19">
        <f t="shared" ref="DG37:DG68" si="112">BK37/BI37</f>
        <v>4.479166666666667</v>
      </c>
      <c r="DH37" s="20">
        <f t="shared" si="32"/>
        <v>52.222258064516133</v>
      </c>
      <c r="DI37" s="19"/>
      <c r="DJ37" s="22"/>
      <c r="DK37" s="22"/>
      <c r="DL37" s="22"/>
      <c r="DM37" s="22">
        <f t="shared" si="91"/>
        <v>23.846153846153847</v>
      </c>
      <c r="DN37" s="22">
        <f t="shared" si="92"/>
        <v>0.12407407407407407</v>
      </c>
      <c r="DO37" s="22">
        <f t="shared" si="93"/>
        <v>7.1538461538461542</v>
      </c>
      <c r="DP37" s="20"/>
      <c r="DQ37" s="22"/>
      <c r="DR37" s="22"/>
      <c r="DS37" s="19"/>
      <c r="DT37" s="23"/>
      <c r="DU37" s="22">
        <f t="shared" ref="DU37:DU68" si="113">BJ37/BI37</f>
        <v>13.854166666666668</v>
      </c>
      <c r="DV37" s="22"/>
      <c r="DW37" s="22">
        <f t="shared" si="63"/>
        <v>0.19936283931918464</v>
      </c>
      <c r="DX37" s="22">
        <f t="shared" ref="DX37:DX68" si="114">BK37*100/BJ37</f>
        <v>32.330827067669176</v>
      </c>
      <c r="DY37" s="22">
        <f t="shared" si="46"/>
        <v>2.763157894736842</v>
      </c>
      <c r="DZ37" s="19"/>
      <c r="EA37" s="23"/>
      <c r="EB37" s="19">
        <f t="shared" si="90"/>
        <v>8.5465116279069761E-2</v>
      </c>
      <c r="EC37" s="19"/>
      <c r="ED37" s="19"/>
      <c r="EE37" s="19">
        <f t="shared" ref="EE37:EE68" si="115">100*G37/($G37+$H37+$I37+$J37+$K37+$L37+$M37+$N37+$O37+$P37)</f>
        <v>42.093586123436864</v>
      </c>
      <c r="EF37" s="19">
        <f t="shared" ref="EF37:EF68" si="116">100*H37/($G37+$H37+$I37+$J37+$K37+$L37+$M37+$N37+$O37+$P37)</f>
        <v>3.7716821298910848</v>
      </c>
      <c r="EG37" s="19">
        <f t="shared" ref="EG37:EG68" si="117">100*I37/($G37+$H37+$I37+$J37+$K37+$L37+$M37+$N37+$O37+$P37)</f>
        <v>7.4828559903186758</v>
      </c>
      <c r="EH37" s="19">
        <f t="shared" ref="EH37:EH68" si="118">100*J37/($G37+$H37+$I37+$J37+$K37+$L37+$M37+$N37+$O37+$P37)</f>
        <v>13.563937071399756</v>
      </c>
      <c r="EI37" s="19">
        <f t="shared" ref="EI37:EI68" si="119">100*K37/($G37+$H37+$I37+$J37+$K37+$L37+$M37+$N37+$O37+$P37)</f>
        <v>0.20169423154497779</v>
      </c>
      <c r="EJ37" s="19">
        <f t="shared" ref="EJ37:EJ68" si="120">100*L37/($G37+$H37+$I37+$J37+$K37+$L37+$M37+$N37+$O37+$P37)</f>
        <v>16.730536506655909</v>
      </c>
      <c r="EK37" s="19">
        <f t="shared" ref="EK37:EK68" si="121">100*M37/($G37+$H37+$I37+$J37+$K37+$L37+$M37+$N37+$O37+$P37)</f>
        <v>12.747075433642596</v>
      </c>
      <c r="EL37" s="19">
        <f t="shared" ref="EL37:EL68" si="122">100*N37/($G37+$H37+$I37+$J37+$K37+$L37+$M37+$N37+$O37+$P37)</f>
        <v>2.5211778943122223</v>
      </c>
      <c r="EM37" s="19">
        <f t="shared" ref="EM37:EM68" si="123">100*O37/($G37+$H37+$I37+$J37+$K37+$L37+$M37+$N37+$O37+$P37)</f>
        <v>0.39330375151270669</v>
      </c>
      <c r="EN37" s="19">
        <f t="shared" ref="EN37:EN68" si="124">100*P37/($G37+$H37+$I37+$J37+$K37+$L37+$M37+$N37+$O37+$P37)</f>
        <v>0.49415086728519558</v>
      </c>
      <c r="EO37" s="19">
        <f t="shared" ref="EO37:EO68" si="125">SUM(EE37:EN37)</f>
        <v>99.999999999999972</v>
      </c>
    </row>
    <row r="38" spans="1:145" s="18" customFormat="1">
      <c r="A38" s="1" t="s">
        <v>231</v>
      </c>
      <c r="B38" s="1">
        <v>4</v>
      </c>
      <c r="C38" s="1" t="s">
        <v>256</v>
      </c>
      <c r="D38" s="1" t="s">
        <v>244</v>
      </c>
      <c r="F38" s="1" t="s">
        <v>255</v>
      </c>
      <c r="G38" s="1">
        <v>45.73</v>
      </c>
      <c r="H38" s="1">
        <v>4</v>
      </c>
      <c r="I38" s="1">
        <v>12.39</v>
      </c>
      <c r="J38" s="1">
        <v>13.26</v>
      </c>
      <c r="K38" s="1">
        <v>0.23</v>
      </c>
      <c r="L38" s="1">
        <v>6.53</v>
      </c>
      <c r="M38" s="1">
        <v>11.05</v>
      </c>
      <c r="N38" s="1">
        <v>3.77</v>
      </c>
      <c r="O38" s="1">
        <v>2.4900000000000002</v>
      </c>
      <c r="P38" s="1">
        <v>0.85</v>
      </c>
      <c r="Q38" s="1">
        <v>2.8</v>
      </c>
      <c r="R38" s="15"/>
      <c r="S38" s="15">
        <f t="shared" si="94"/>
        <v>100.29999999999998</v>
      </c>
      <c r="T38" s="16"/>
      <c r="U38" s="1">
        <v>0.70479999999999998</v>
      </c>
      <c r="V38" s="1">
        <v>0.512436</v>
      </c>
      <c r="AF38" s="19">
        <f t="shared" si="95"/>
        <v>0.53438008470963472</v>
      </c>
      <c r="AG38" s="20">
        <f t="shared" si="96"/>
        <v>23980</v>
      </c>
      <c r="AH38" s="20">
        <f t="shared" si="97"/>
        <v>20671.980000000003</v>
      </c>
      <c r="AI38" s="20">
        <f t="shared" si="98"/>
        <v>3709.4</v>
      </c>
      <c r="AJ38" s="19">
        <f t="shared" si="99"/>
        <v>6.26</v>
      </c>
      <c r="AK38" s="19">
        <f t="shared" si="100"/>
        <v>0.66047745358090193</v>
      </c>
      <c r="AL38" s="19">
        <f t="shared" si="101"/>
        <v>1.5140562248995983</v>
      </c>
      <c r="AM38" s="19">
        <f t="shared" si="102"/>
        <v>0.89184826472962075</v>
      </c>
      <c r="AN38" s="19">
        <f t="shared" si="103"/>
        <v>0.20096852300242132</v>
      </c>
      <c r="AO38" s="19">
        <f t="shared" si="104"/>
        <v>0.71807485187407327</v>
      </c>
      <c r="AP38" s="19">
        <f t="shared" si="105"/>
        <v>1.3926124795905916</v>
      </c>
      <c r="AQ38" s="19">
        <f t="shared" si="106"/>
        <v>0.42743092286410794</v>
      </c>
      <c r="AR38" s="19">
        <f t="shared" si="107"/>
        <v>0.71807485187407327</v>
      </c>
      <c r="AS38" s="20">
        <f t="shared" si="108"/>
        <v>1813.082281628318</v>
      </c>
      <c r="AT38" s="20">
        <f t="shared" si="109"/>
        <v>1622.9585034777292</v>
      </c>
      <c r="AU38" s="19">
        <f t="shared" si="110"/>
        <v>5.4450032801224589E-2</v>
      </c>
      <c r="AV38" s="19">
        <f t="shared" si="111"/>
        <v>0.2175238917762938</v>
      </c>
      <c r="AX38" s="1">
        <v>48</v>
      </c>
      <c r="AY38" s="1"/>
      <c r="AZ38" s="1">
        <v>2574</v>
      </c>
      <c r="BA38" s="1">
        <v>132</v>
      </c>
      <c r="BB38" s="1">
        <v>19</v>
      </c>
      <c r="BC38" s="1">
        <v>370</v>
      </c>
      <c r="BD38" s="1">
        <v>34</v>
      </c>
      <c r="BE38" s="1">
        <v>41</v>
      </c>
      <c r="BF38" s="1"/>
      <c r="BG38" s="1">
        <v>30</v>
      </c>
      <c r="BH38" s="1">
        <v>126</v>
      </c>
      <c r="BI38" s="1">
        <v>28.6</v>
      </c>
      <c r="BJ38" s="1">
        <v>343</v>
      </c>
      <c r="BK38" s="1">
        <v>124</v>
      </c>
      <c r="BL38" s="1">
        <v>11</v>
      </c>
      <c r="BM38" s="1">
        <v>9.73</v>
      </c>
      <c r="BN38" s="1">
        <v>89</v>
      </c>
      <c r="BO38" s="1">
        <v>179</v>
      </c>
      <c r="BP38" s="1">
        <v>1275</v>
      </c>
      <c r="BQ38" s="1">
        <v>106</v>
      </c>
      <c r="BR38" s="1">
        <v>16.899999999999999</v>
      </c>
      <c r="BS38" s="1">
        <v>4.55</v>
      </c>
      <c r="BT38" s="1">
        <v>11.2</v>
      </c>
      <c r="BU38" s="1">
        <v>1.41</v>
      </c>
      <c r="BV38" s="1">
        <v>6.19</v>
      </c>
      <c r="BW38" s="1"/>
      <c r="BX38" s="1">
        <v>1.97</v>
      </c>
      <c r="BY38" s="1"/>
      <c r="BZ38" s="1">
        <v>1.35</v>
      </c>
      <c r="CA38" s="1">
        <v>0.17</v>
      </c>
      <c r="CB38" s="1"/>
      <c r="CC38" s="1">
        <v>11.1</v>
      </c>
      <c r="CD38" s="1">
        <v>2.2999999999999998</v>
      </c>
      <c r="CE38" s="1">
        <v>14.8</v>
      </c>
      <c r="CG38" s="22">
        <f t="shared" si="18"/>
        <v>367.76859504132233</v>
      </c>
      <c r="CH38" s="22">
        <f t="shared" si="64"/>
        <v>281.88976377952753</v>
      </c>
      <c r="CI38" s="22">
        <f t="shared" si="80"/>
        <v>13239.8753894081</v>
      </c>
      <c r="CJ38" s="22">
        <f t="shared" si="81"/>
        <v>220.83333333333334</v>
      </c>
      <c r="CK38" s="22">
        <f t="shared" si="82"/>
        <v>108.33333333333333</v>
      </c>
      <c r="CL38" s="22">
        <v>68.059100000000001</v>
      </c>
      <c r="CM38" s="22">
        <f t="shared" si="83"/>
        <v>52.830188679245282</v>
      </c>
      <c r="CN38" s="22">
        <f t="shared" si="84"/>
        <v>37.499999999999993</v>
      </c>
      <c r="CO38" s="22">
        <f t="shared" si="85"/>
        <v>23.8996138996139</v>
      </c>
      <c r="CP38" s="22">
        <f t="shared" si="86"/>
        <v>0</v>
      </c>
      <c r="CQ38" s="22">
        <f t="shared" si="87"/>
        <v>12.085889570552146</v>
      </c>
      <c r="CR38" s="22">
        <f t="shared" si="88"/>
        <v>0</v>
      </c>
      <c r="CS38" s="22">
        <f t="shared" si="26"/>
        <v>8.1325301204819276</v>
      </c>
      <c r="CT38" s="22">
        <f t="shared" si="71"/>
        <v>6.8</v>
      </c>
      <c r="CU38" s="22">
        <f t="shared" si="59"/>
        <v>20.758064516129032</v>
      </c>
      <c r="CV38" s="22">
        <f t="shared" si="28"/>
        <v>28.921348314606742</v>
      </c>
      <c r="CW38" s="22">
        <f t="shared" si="60"/>
        <v>0.717741935483871</v>
      </c>
      <c r="CX38" s="20">
        <f t="shared" si="61"/>
        <v>193.38709677419354</v>
      </c>
      <c r="CY38" s="22"/>
      <c r="CZ38" s="22"/>
      <c r="DA38" s="22"/>
      <c r="DB38" s="22">
        <f t="shared" si="62"/>
        <v>2.7661290322580645</v>
      </c>
      <c r="DC38" s="22">
        <f t="shared" si="89"/>
        <v>231.8918918918919</v>
      </c>
      <c r="DD38" s="22"/>
      <c r="DE38" s="22"/>
      <c r="DF38" s="22"/>
      <c r="DG38" s="19">
        <f t="shared" si="112"/>
        <v>4.3356643356643358</v>
      </c>
      <c r="DH38" s="20">
        <f t="shared" si="32"/>
        <v>232.26943820224722</v>
      </c>
      <c r="DI38" s="19"/>
      <c r="DJ38" s="22"/>
      <c r="DK38" s="22"/>
      <c r="DL38" s="22"/>
      <c r="DM38" s="22">
        <f t="shared" si="91"/>
        <v>65.925925925925924</v>
      </c>
      <c r="DN38" s="22">
        <f t="shared" si="92"/>
        <v>0.10377358490566038</v>
      </c>
      <c r="DO38" s="22">
        <f t="shared" si="93"/>
        <v>12.518518518518517</v>
      </c>
      <c r="DP38" s="20"/>
      <c r="DQ38" s="22"/>
      <c r="DR38" s="22"/>
      <c r="DS38" s="19"/>
      <c r="DT38" s="23"/>
      <c r="DU38" s="22">
        <f t="shared" si="113"/>
        <v>11.993006993006992</v>
      </c>
      <c r="DV38" s="22"/>
      <c r="DW38" s="22">
        <f t="shared" si="63"/>
        <v>0.30551372515883557</v>
      </c>
      <c r="DX38" s="22">
        <f t="shared" si="114"/>
        <v>36.151603498542272</v>
      </c>
      <c r="DY38" s="22">
        <f t="shared" si="46"/>
        <v>3.2361516034985423</v>
      </c>
      <c r="DZ38" s="19"/>
      <c r="EA38" s="23"/>
      <c r="EB38" s="19">
        <f t="shared" si="90"/>
        <v>8.9516129032258057E-2</v>
      </c>
      <c r="EC38" s="19"/>
      <c r="ED38" s="19"/>
      <c r="EE38" s="19">
        <f t="shared" si="115"/>
        <v>45.593220338983059</v>
      </c>
      <c r="EF38" s="19">
        <f t="shared" si="116"/>
        <v>3.9880358923230315</v>
      </c>
      <c r="EG38" s="19">
        <f t="shared" si="117"/>
        <v>12.352941176470591</v>
      </c>
      <c r="EH38" s="19">
        <f t="shared" si="118"/>
        <v>13.22033898305085</v>
      </c>
      <c r="EI38" s="19">
        <f t="shared" si="119"/>
        <v>0.22931206380857433</v>
      </c>
      <c r="EJ38" s="19">
        <f t="shared" si="120"/>
        <v>6.5104685942173495</v>
      </c>
      <c r="EK38" s="19">
        <f t="shared" si="121"/>
        <v>11.016949152542376</v>
      </c>
      <c r="EL38" s="19">
        <f t="shared" si="122"/>
        <v>3.7587238285144573</v>
      </c>
      <c r="EM38" s="19">
        <f t="shared" si="123"/>
        <v>2.4825523429710876</v>
      </c>
      <c r="EN38" s="19">
        <f t="shared" si="124"/>
        <v>0.84745762711864425</v>
      </c>
      <c r="EO38" s="19">
        <f t="shared" si="125"/>
        <v>100.00000000000003</v>
      </c>
    </row>
    <row r="39" spans="1:145" s="18" customFormat="1">
      <c r="A39" s="1" t="s">
        <v>231</v>
      </c>
      <c r="B39" s="1">
        <v>4</v>
      </c>
      <c r="C39" s="1" t="s">
        <v>256</v>
      </c>
      <c r="D39" s="1" t="s">
        <v>244</v>
      </c>
      <c r="F39" s="1" t="s">
        <v>255</v>
      </c>
      <c r="G39" s="1">
        <v>40.67</v>
      </c>
      <c r="H39" s="1">
        <v>5.63</v>
      </c>
      <c r="I39" s="1">
        <v>10.11</v>
      </c>
      <c r="J39" s="1">
        <v>13.43</v>
      </c>
      <c r="K39" s="1">
        <v>0.19</v>
      </c>
      <c r="L39" s="1">
        <v>13.05</v>
      </c>
      <c r="M39" s="1">
        <v>12.19</v>
      </c>
      <c r="N39" s="1">
        <v>3.18</v>
      </c>
      <c r="O39" s="1">
        <v>0.79</v>
      </c>
      <c r="P39" s="1">
        <v>0.6</v>
      </c>
      <c r="Q39" s="1">
        <v>2.93</v>
      </c>
      <c r="R39" s="15"/>
      <c r="S39" s="15">
        <f t="shared" si="94"/>
        <v>99.84</v>
      </c>
      <c r="T39" s="16"/>
      <c r="U39" s="1">
        <v>0.70491999999999999</v>
      </c>
      <c r="V39" s="1">
        <v>0.51242299999999996</v>
      </c>
      <c r="AF39" s="19">
        <f t="shared" si="95"/>
        <v>0.6936798722526939</v>
      </c>
      <c r="AG39" s="20">
        <f t="shared" si="96"/>
        <v>33751.85</v>
      </c>
      <c r="AH39" s="20">
        <f t="shared" si="97"/>
        <v>6558.58</v>
      </c>
      <c r="AI39" s="20">
        <f t="shared" si="98"/>
        <v>2618.4</v>
      </c>
      <c r="AJ39" s="19">
        <f t="shared" si="99"/>
        <v>3.97</v>
      </c>
      <c r="AK39" s="19">
        <f t="shared" si="100"/>
        <v>0.24842767295597484</v>
      </c>
      <c r="AL39" s="19">
        <f t="shared" si="101"/>
        <v>4.0253164556962027</v>
      </c>
      <c r="AM39" s="19">
        <f t="shared" si="102"/>
        <v>1.2057368941641937</v>
      </c>
      <c r="AN39" s="19">
        <f t="shared" si="103"/>
        <v>7.8140454995054412E-2</v>
      </c>
      <c r="AO39" s="19">
        <f t="shared" si="104"/>
        <v>0.60201061782349208</v>
      </c>
      <c r="AP39" s="19">
        <f t="shared" si="105"/>
        <v>1.6611002703164903</v>
      </c>
      <c r="AQ39" s="19">
        <f t="shared" si="106"/>
        <v>0.35788657953229241</v>
      </c>
      <c r="AR39" s="19">
        <f t="shared" si="107"/>
        <v>0.60201061782349208</v>
      </c>
      <c r="AS39" s="20">
        <f t="shared" si="108"/>
        <v>1744.7084534122971</v>
      </c>
      <c r="AT39" s="20">
        <f t="shared" si="109"/>
        <v>2054.2943567392867</v>
      </c>
      <c r="AU39" s="19">
        <f t="shared" si="110"/>
        <v>1.9424637324809441E-2</v>
      </c>
      <c r="AV39" s="19">
        <f t="shared" si="111"/>
        <v>8.4577503092311532E-2</v>
      </c>
      <c r="AX39" s="1">
        <v>80</v>
      </c>
      <c r="AY39" s="1"/>
      <c r="AZ39" s="1">
        <v>1692</v>
      </c>
      <c r="BA39" s="1">
        <v>537</v>
      </c>
      <c r="BB39" s="1">
        <v>29</v>
      </c>
      <c r="BC39" s="1">
        <v>474</v>
      </c>
      <c r="BD39" s="1">
        <v>301</v>
      </c>
      <c r="BE39" s="1">
        <v>65</v>
      </c>
      <c r="BF39" s="1"/>
      <c r="BG39" s="1">
        <v>86</v>
      </c>
      <c r="BH39" s="1">
        <v>126</v>
      </c>
      <c r="BI39" s="1">
        <v>18.600000000000001</v>
      </c>
      <c r="BJ39" s="1">
        <v>273</v>
      </c>
      <c r="BK39" s="1">
        <v>99</v>
      </c>
      <c r="BL39" s="1">
        <v>8.8800000000000008</v>
      </c>
      <c r="BM39" s="1">
        <v>6.91</v>
      </c>
      <c r="BN39" s="1">
        <v>65</v>
      </c>
      <c r="BO39" s="1">
        <v>131</v>
      </c>
      <c r="BP39" s="1">
        <v>1228</v>
      </c>
      <c r="BQ39" s="1">
        <v>70.599999999999994</v>
      </c>
      <c r="BR39" s="1">
        <v>11.7</v>
      </c>
      <c r="BS39" s="1">
        <v>3.15</v>
      </c>
      <c r="BT39" s="1">
        <v>8.4</v>
      </c>
      <c r="BU39" s="1">
        <v>1.1200000000000001</v>
      </c>
      <c r="BV39" s="1">
        <v>4.72</v>
      </c>
      <c r="BW39" s="1"/>
      <c r="BX39" s="1">
        <v>1.59</v>
      </c>
      <c r="BY39" s="1"/>
      <c r="BZ39" s="1">
        <v>1.29</v>
      </c>
      <c r="CA39" s="1">
        <v>0.16</v>
      </c>
      <c r="CB39" s="1"/>
      <c r="CC39" s="1">
        <v>7.83</v>
      </c>
      <c r="CD39" s="1">
        <v>1.9</v>
      </c>
      <c r="CE39" s="1">
        <v>18.899999999999999</v>
      </c>
      <c r="CG39" s="22">
        <f t="shared" si="18"/>
        <v>268.59504132231405</v>
      </c>
      <c r="CH39" s="22">
        <f t="shared" si="64"/>
        <v>206.29921259842519</v>
      </c>
      <c r="CI39" s="22">
        <f t="shared" si="80"/>
        <v>12751.817237798547</v>
      </c>
      <c r="CJ39" s="22">
        <f t="shared" si="81"/>
        <v>147.08333333333331</v>
      </c>
      <c r="CK39" s="22">
        <f t="shared" si="82"/>
        <v>75</v>
      </c>
      <c r="CL39" s="22">
        <v>69.059100000000001</v>
      </c>
      <c r="CM39" s="22">
        <f t="shared" si="83"/>
        <v>39.622641509433969</v>
      </c>
      <c r="CN39" s="22">
        <f t="shared" si="84"/>
        <v>29.787234042553195</v>
      </c>
      <c r="CO39" s="22">
        <f t="shared" si="85"/>
        <v>18.223938223938223</v>
      </c>
      <c r="CP39" s="22">
        <f t="shared" si="86"/>
        <v>0</v>
      </c>
      <c r="CQ39" s="22">
        <f t="shared" si="87"/>
        <v>9.7546012269938647</v>
      </c>
      <c r="CR39" s="22">
        <f t="shared" si="88"/>
        <v>0</v>
      </c>
      <c r="CS39" s="22">
        <f t="shared" si="26"/>
        <v>7.7710843373493974</v>
      </c>
      <c r="CT39" s="22">
        <f t="shared" si="71"/>
        <v>6.3999999999999995</v>
      </c>
      <c r="CU39" s="22">
        <f t="shared" si="59"/>
        <v>17.09090909090909</v>
      </c>
      <c r="CV39" s="22">
        <f t="shared" si="28"/>
        <v>26.030769230769231</v>
      </c>
      <c r="CW39" s="22">
        <f t="shared" si="60"/>
        <v>0.65656565656565657</v>
      </c>
      <c r="CX39" s="20">
        <f t="shared" si="61"/>
        <v>340.92777777777775</v>
      </c>
      <c r="CY39" s="22"/>
      <c r="CZ39" s="22"/>
      <c r="DA39" s="22"/>
      <c r="DB39" s="22">
        <f t="shared" si="62"/>
        <v>2.7575757575757578</v>
      </c>
      <c r="DC39" s="22">
        <f t="shared" si="89"/>
        <v>216.09195402298852</v>
      </c>
      <c r="DD39" s="22"/>
      <c r="DE39" s="22"/>
      <c r="DF39" s="22"/>
      <c r="DG39" s="19">
        <f t="shared" si="112"/>
        <v>5.32258064516129</v>
      </c>
      <c r="DH39" s="20">
        <f t="shared" si="32"/>
        <v>100.90123076923076</v>
      </c>
      <c r="DI39" s="19"/>
      <c r="DJ39" s="22"/>
      <c r="DK39" s="22"/>
      <c r="DL39" s="22"/>
      <c r="DM39" s="22">
        <f t="shared" si="91"/>
        <v>50.387596899224803</v>
      </c>
      <c r="DN39" s="22">
        <f t="shared" si="92"/>
        <v>0.12577903682719549</v>
      </c>
      <c r="DO39" s="22">
        <f t="shared" si="93"/>
        <v>9.0697674418604635</v>
      </c>
      <c r="DP39" s="20"/>
      <c r="DQ39" s="22"/>
      <c r="DR39" s="22"/>
      <c r="DS39" s="19"/>
      <c r="DT39" s="23"/>
      <c r="DU39" s="22">
        <f t="shared" si="113"/>
        <v>14.677419354838708</v>
      </c>
      <c r="DV39" s="22"/>
      <c r="DW39" s="22">
        <f t="shared" si="63"/>
        <v>0.22615482095978168</v>
      </c>
      <c r="DX39" s="22">
        <f t="shared" si="114"/>
        <v>36.263736263736263</v>
      </c>
      <c r="DY39" s="22">
        <f t="shared" si="46"/>
        <v>2.8681318681318682</v>
      </c>
      <c r="DZ39" s="19"/>
      <c r="EA39" s="23"/>
      <c r="EB39" s="19">
        <f t="shared" si="90"/>
        <v>7.9090909090909087E-2</v>
      </c>
      <c r="EC39" s="19"/>
      <c r="ED39" s="19"/>
      <c r="EE39" s="19">
        <f t="shared" si="115"/>
        <v>40.735176282051277</v>
      </c>
      <c r="EF39" s="19">
        <f t="shared" si="116"/>
        <v>5.6390224358974361</v>
      </c>
      <c r="EG39" s="19">
        <f t="shared" si="117"/>
        <v>10.126201923076923</v>
      </c>
      <c r="EH39" s="19">
        <f t="shared" si="118"/>
        <v>13.451522435897436</v>
      </c>
      <c r="EI39" s="19">
        <f t="shared" si="119"/>
        <v>0.19030448717948717</v>
      </c>
      <c r="EJ39" s="19">
        <f t="shared" si="120"/>
        <v>13.070913461538462</v>
      </c>
      <c r="EK39" s="19">
        <f t="shared" si="121"/>
        <v>12.209535256410255</v>
      </c>
      <c r="EL39" s="19">
        <f t="shared" si="122"/>
        <v>3.1850961538461537</v>
      </c>
      <c r="EM39" s="19">
        <f t="shared" si="123"/>
        <v>0.79126602564102566</v>
      </c>
      <c r="EN39" s="19">
        <f t="shared" si="124"/>
        <v>0.60096153846153844</v>
      </c>
      <c r="EO39" s="19">
        <f t="shared" si="125"/>
        <v>99.999999999999986</v>
      </c>
    </row>
    <row r="40" spans="1:145" s="18" customFormat="1">
      <c r="A40" s="1" t="s">
        <v>231</v>
      </c>
      <c r="B40" s="1">
        <v>4</v>
      </c>
      <c r="C40" s="1" t="s">
        <v>256</v>
      </c>
      <c r="D40" s="1" t="s">
        <v>244</v>
      </c>
      <c r="F40" s="1" t="s">
        <v>255</v>
      </c>
      <c r="G40" s="1">
        <v>39.42</v>
      </c>
      <c r="H40" s="1">
        <v>4.16</v>
      </c>
      <c r="I40" s="1">
        <v>10.11</v>
      </c>
      <c r="J40" s="1">
        <v>16.21</v>
      </c>
      <c r="K40" s="1">
        <v>0.24</v>
      </c>
      <c r="L40" s="1">
        <v>10.93</v>
      </c>
      <c r="M40" s="1">
        <v>13.6</v>
      </c>
      <c r="N40" s="1">
        <v>1.88</v>
      </c>
      <c r="O40" s="1">
        <v>1.81</v>
      </c>
      <c r="P40" s="1">
        <v>1.07</v>
      </c>
      <c r="Q40" s="1">
        <v>3.29</v>
      </c>
      <c r="R40" s="15"/>
      <c r="S40" s="15">
        <f t="shared" si="94"/>
        <v>99.429999999999978</v>
      </c>
      <c r="T40" s="16"/>
      <c r="U40" s="1"/>
      <c r="V40" s="1"/>
      <c r="AF40" s="19">
        <f t="shared" si="95"/>
        <v>0.61110649351727997</v>
      </c>
      <c r="AG40" s="20">
        <f t="shared" si="96"/>
        <v>24939.200000000001</v>
      </c>
      <c r="AH40" s="20">
        <f t="shared" si="97"/>
        <v>15026.62</v>
      </c>
      <c r="AI40" s="20">
        <f t="shared" si="98"/>
        <v>4669.4800000000005</v>
      </c>
      <c r="AJ40" s="19">
        <f t="shared" si="99"/>
        <v>3.69</v>
      </c>
      <c r="AK40" s="19">
        <f t="shared" si="100"/>
        <v>0.9627659574468086</v>
      </c>
      <c r="AL40" s="19">
        <f t="shared" si="101"/>
        <v>1.0386740331491713</v>
      </c>
      <c r="AM40" s="19">
        <f t="shared" si="102"/>
        <v>1.3452027695351136</v>
      </c>
      <c r="AN40" s="19">
        <f t="shared" si="103"/>
        <v>0.17903066271018794</v>
      </c>
      <c r="AO40" s="19">
        <f t="shared" si="104"/>
        <v>0.49968269019085915</v>
      </c>
      <c r="AP40" s="19">
        <f t="shared" si="105"/>
        <v>2.0012700452321837</v>
      </c>
      <c r="AQ40" s="19">
        <f t="shared" si="106"/>
        <v>0.33951030675075966</v>
      </c>
      <c r="AR40" s="19">
        <f t="shared" si="107"/>
        <v>0.49968269019085915</v>
      </c>
      <c r="AS40" s="20">
        <f t="shared" si="108"/>
        <v>1782.4582254319009</v>
      </c>
      <c r="AT40" s="20">
        <f t="shared" si="109"/>
        <v>2108.6719176993693</v>
      </c>
      <c r="AU40" s="19">
        <f t="shared" si="110"/>
        <v>4.5915778792491119E-2</v>
      </c>
      <c r="AV40" s="19">
        <f t="shared" si="111"/>
        <v>0.19377883619884034</v>
      </c>
      <c r="AX40" s="1">
        <v>51</v>
      </c>
      <c r="AY40" s="1"/>
      <c r="AZ40" s="1">
        <v>896</v>
      </c>
      <c r="BA40" s="1">
        <v>152</v>
      </c>
      <c r="BB40" s="1">
        <v>24</v>
      </c>
      <c r="BC40" s="1">
        <v>277</v>
      </c>
      <c r="BD40" s="1">
        <v>155</v>
      </c>
      <c r="BE40" s="1">
        <v>57</v>
      </c>
      <c r="BF40" s="1"/>
      <c r="BG40" s="1">
        <v>45</v>
      </c>
      <c r="BH40" s="1">
        <v>158</v>
      </c>
      <c r="BI40" s="1">
        <v>43.7</v>
      </c>
      <c r="BJ40" s="1">
        <v>587</v>
      </c>
      <c r="BK40" s="1">
        <v>136</v>
      </c>
      <c r="BL40" s="1">
        <v>8.6300000000000008</v>
      </c>
      <c r="BM40" s="1">
        <v>6.66</v>
      </c>
      <c r="BN40" s="1">
        <v>109</v>
      </c>
      <c r="BO40" s="1">
        <v>220</v>
      </c>
      <c r="BP40" s="1">
        <v>1901</v>
      </c>
      <c r="BQ40" s="1">
        <v>81.599999999999994</v>
      </c>
      <c r="BR40" s="1">
        <v>12.5</v>
      </c>
      <c r="BS40" s="1">
        <v>3.7</v>
      </c>
      <c r="BT40" s="1">
        <v>9.08</v>
      </c>
      <c r="BU40" s="1">
        <v>1.23</v>
      </c>
      <c r="BV40" s="1">
        <v>6.36</v>
      </c>
      <c r="BW40" s="1"/>
      <c r="BX40" s="1">
        <v>2.04</v>
      </c>
      <c r="BY40" s="1"/>
      <c r="BZ40" s="1">
        <v>2.19</v>
      </c>
      <c r="CA40" s="1">
        <v>0.62</v>
      </c>
      <c r="CB40" s="1"/>
      <c r="CC40" s="1">
        <v>12.2</v>
      </c>
      <c r="CD40" s="1">
        <v>2.8</v>
      </c>
      <c r="CE40" s="1">
        <v>22</v>
      </c>
      <c r="CG40" s="22">
        <f t="shared" si="18"/>
        <v>450.41322314049586</v>
      </c>
      <c r="CH40" s="22">
        <f t="shared" si="64"/>
        <v>346.45669291338584</v>
      </c>
      <c r="CI40" s="22">
        <f t="shared" si="80"/>
        <v>19740.394600207685</v>
      </c>
      <c r="CJ40" s="22">
        <f t="shared" si="81"/>
        <v>170</v>
      </c>
      <c r="CK40" s="22">
        <f t="shared" si="82"/>
        <v>80.128205128205124</v>
      </c>
      <c r="CL40" s="22">
        <v>70.059100000000001</v>
      </c>
      <c r="CM40" s="22">
        <f t="shared" si="83"/>
        <v>42.830188679245282</v>
      </c>
      <c r="CN40" s="22">
        <f t="shared" si="84"/>
        <v>32.712765957446805</v>
      </c>
      <c r="CO40" s="22">
        <f t="shared" si="85"/>
        <v>24.555984555984555</v>
      </c>
      <c r="CP40" s="22">
        <f t="shared" si="86"/>
        <v>0</v>
      </c>
      <c r="CQ40" s="22">
        <f t="shared" si="87"/>
        <v>12.515337423312884</v>
      </c>
      <c r="CR40" s="22">
        <f t="shared" si="88"/>
        <v>0</v>
      </c>
      <c r="CS40" s="22">
        <f t="shared" si="26"/>
        <v>13.192771084337348</v>
      </c>
      <c r="CT40" s="22">
        <f t="shared" si="71"/>
        <v>24.799999999999997</v>
      </c>
      <c r="CU40" s="22">
        <f t="shared" si="59"/>
        <v>6.5882352941176467</v>
      </c>
      <c r="CV40" s="22">
        <f t="shared" si="28"/>
        <v>8.2201834862385326</v>
      </c>
      <c r="CW40" s="22">
        <f t="shared" si="60"/>
        <v>0.80147058823529416</v>
      </c>
      <c r="CX40" s="20">
        <f t="shared" ref="CX40:CX71" si="126">AG40/BK40</f>
        <v>183.37647058823529</v>
      </c>
      <c r="CY40" s="22"/>
      <c r="CZ40" s="22"/>
      <c r="DA40" s="22"/>
      <c r="DB40" s="22">
        <f t="shared" ref="DB40:DB71" si="127">BJ40/BK40</f>
        <v>4.3161764705882355</v>
      </c>
      <c r="DC40" s="22">
        <f t="shared" si="89"/>
        <v>73.442622950819683</v>
      </c>
      <c r="DD40" s="22"/>
      <c r="DE40" s="22"/>
      <c r="DF40" s="22"/>
      <c r="DG40" s="19">
        <f t="shared" si="112"/>
        <v>3.112128146453089</v>
      </c>
      <c r="DH40" s="20">
        <f t="shared" si="32"/>
        <v>137.85889908256883</v>
      </c>
      <c r="DI40" s="19"/>
      <c r="DJ40" s="22"/>
      <c r="DK40" s="22"/>
      <c r="DL40" s="22"/>
      <c r="DM40" s="22">
        <f t="shared" si="91"/>
        <v>49.771689497716899</v>
      </c>
      <c r="DN40" s="22">
        <f t="shared" si="92"/>
        <v>0.10575980392156864</v>
      </c>
      <c r="DO40" s="22">
        <f t="shared" si="93"/>
        <v>5.7077625570776256</v>
      </c>
      <c r="DP40" s="20"/>
      <c r="DQ40" s="22"/>
      <c r="DR40" s="22"/>
      <c r="DS40" s="19"/>
      <c r="DT40" s="23"/>
      <c r="DU40" s="22">
        <f t="shared" si="113"/>
        <v>13.432494279176201</v>
      </c>
      <c r="DV40" s="22"/>
      <c r="DW40" s="22">
        <f t="shared" si="63"/>
        <v>6.6996675987585963E-2</v>
      </c>
      <c r="DX40" s="22">
        <f t="shared" si="114"/>
        <v>23.168654173764907</v>
      </c>
      <c r="DY40" s="22">
        <f t="shared" si="46"/>
        <v>2.0783645655877341</v>
      </c>
      <c r="DZ40" s="19"/>
      <c r="EA40" s="23"/>
      <c r="EB40" s="19">
        <f t="shared" si="90"/>
        <v>8.9705882352941177E-2</v>
      </c>
      <c r="EC40" s="19"/>
      <c r="ED40" s="19"/>
      <c r="EE40" s="19">
        <f t="shared" si="115"/>
        <v>39.645982097958374</v>
      </c>
      <c r="EF40" s="19">
        <f t="shared" si="116"/>
        <v>4.1838479332193508</v>
      </c>
      <c r="EG40" s="19">
        <f t="shared" si="117"/>
        <v>10.167957356934529</v>
      </c>
      <c r="EH40" s="19">
        <f t="shared" si="118"/>
        <v>16.302926682087904</v>
      </c>
      <c r="EI40" s="19">
        <f t="shared" si="119"/>
        <v>0.24137584230111642</v>
      </c>
      <c r="EJ40" s="19">
        <f t="shared" si="120"/>
        <v>10.992658151463344</v>
      </c>
      <c r="EK40" s="19">
        <f t="shared" si="121"/>
        <v>13.677964397063263</v>
      </c>
      <c r="EL40" s="19">
        <f t="shared" si="122"/>
        <v>1.8907774313587453</v>
      </c>
      <c r="EM40" s="19">
        <f t="shared" si="123"/>
        <v>1.8203761440209196</v>
      </c>
      <c r="EN40" s="19">
        <f t="shared" si="124"/>
        <v>1.0761339635924774</v>
      </c>
      <c r="EO40" s="19">
        <f t="shared" si="125"/>
        <v>100.00000000000003</v>
      </c>
    </row>
    <row r="41" spans="1:145" s="18" customFormat="1">
      <c r="A41" s="1" t="s">
        <v>231</v>
      </c>
      <c r="B41" s="1">
        <v>4</v>
      </c>
      <c r="C41" s="1" t="s">
        <v>256</v>
      </c>
      <c r="D41" s="1" t="s">
        <v>244</v>
      </c>
      <c r="F41" s="1" t="s">
        <v>255</v>
      </c>
      <c r="G41" s="1">
        <v>37.04</v>
      </c>
      <c r="H41" s="1">
        <v>5.56</v>
      </c>
      <c r="I41" s="1">
        <v>6.27</v>
      </c>
      <c r="J41" s="1">
        <v>15.91</v>
      </c>
      <c r="K41" s="1">
        <v>0.21</v>
      </c>
      <c r="L41" s="1">
        <v>16.8</v>
      </c>
      <c r="M41" s="1">
        <v>11.27</v>
      </c>
      <c r="N41" s="1">
        <v>2.2599999999999998</v>
      </c>
      <c r="O41" s="1">
        <v>3.02</v>
      </c>
      <c r="P41" s="1">
        <v>0.79</v>
      </c>
      <c r="Q41" s="1">
        <v>0.24</v>
      </c>
      <c r="R41" s="15"/>
      <c r="S41" s="15">
        <f t="shared" si="94"/>
        <v>99.13</v>
      </c>
      <c r="T41" s="16"/>
      <c r="U41" s="1"/>
      <c r="V41" s="1"/>
      <c r="AF41" s="19">
        <f t="shared" si="95"/>
        <v>0.71105507138812818</v>
      </c>
      <c r="AG41" s="20">
        <f t="shared" si="96"/>
        <v>33332.199999999997</v>
      </c>
      <c r="AH41" s="20">
        <f t="shared" si="97"/>
        <v>25072.04</v>
      </c>
      <c r="AI41" s="20">
        <f t="shared" si="98"/>
        <v>3447.56</v>
      </c>
      <c r="AJ41" s="19">
        <f t="shared" si="99"/>
        <v>5.2799999999999994</v>
      </c>
      <c r="AK41" s="19">
        <f t="shared" si="100"/>
        <v>1.336283185840708</v>
      </c>
      <c r="AL41" s="19">
        <f t="shared" si="101"/>
        <v>0.74834437086092709</v>
      </c>
      <c r="AM41" s="19">
        <f t="shared" si="102"/>
        <v>1.7974481658692185</v>
      </c>
      <c r="AN41" s="19">
        <f t="shared" si="103"/>
        <v>0.48165869218500801</v>
      </c>
      <c r="AO41" s="19">
        <f t="shared" si="104"/>
        <v>1.1142882073582956</v>
      </c>
      <c r="AP41" s="19">
        <f t="shared" si="105"/>
        <v>0.89743388954169678</v>
      </c>
      <c r="AQ41" s="19">
        <f t="shared" si="106"/>
        <v>0.22819279904351192</v>
      </c>
      <c r="AR41" s="19">
        <f t="shared" si="107"/>
        <v>1.1142882073582956</v>
      </c>
      <c r="AS41" s="20">
        <f t="shared" si="108"/>
        <v>1385.8639222094257</v>
      </c>
      <c r="AT41" s="20">
        <f t="shared" si="109"/>
        <v>2119.4583504880152</v>
      </c>
      <c r="AU41" s="19">
        <f t="shared" si="110"/>
        <v>8.1533477321814263E-2</v>
      </c>
      <c r="AV41" s="19">
        <f t="shared" si="111"/>
        <v>0.52133673306988759</v>
      </c>
      <c r="AX41" s="1">
        <v>98</v>
      </c>
      <c r="AY41" s="1"/>
      <c r="AZ41" s="1">
        <v>1232</v>
      </c>
      <c r="BA41" s="1">
        <v>965</v>
      </c>
      <c r="BB41" s="1">
        <v>25</v>
      </c>
      <c r="BC41" s="1">
        <v>421</v>
      </c>
      <c r="BD41" s="1">
        <v>491</v>
      </c>
      <c r="BE41" s="1">
        <v>94</v>
      </c>
      <c r="BF41" s="1"/>
      <c r="BG41" s="1">
        <v>93</v>
      </c>
      <c r="BH41" s="1">
        <v>141</v>
      </c>
      <c r="BI41" s="1">
        <v>25.7</v>
      </c>
      <c r="BJ41" s="1">
        <v>486</v>
      </c>
      <c r="BK41" s="1">
        <v>160</v>
      </c>
      <c r="BL41" s="1"/>
      <c r="BM41" s="1"/>
      <c r="BN41" s="1">
        <v>111</v>
      </c>
      <c r="BO41" s="1">
        <v>228</v>
      </c>
      <c r="BP41" s="1">
        <v>1416</v>
      </c>
      <c r="BQ41" s="1">
        <v>70.3</v>
      </c>
      <c r="BR41" s="1">
        <v>11.5</v>
      </c>
      <c r="BS41" s="1">
        <v>3.27</v>
      </c>
      <c r="BT41" s="1">
        <v>8.9</v>
      </c>
      <c r="BU41" s="1"/>
      <c r="BV41" s="1">
        <v>5.59</v>
      </c>
      <c r="BW41" s="1"/>
      <c r="BX41" s="1">
        <v>2.59</v>
      </c>
      <c r="BY41" s="1"/>
      <c r="BZ41" s="1">
        <v>2.08</v>
      </c>
      <c r="CA41" s="1">
        <v>0.31</v>
      </c>
      <c r="CB41" s="1"/>
      <c r="CC41" s="1">
        <v>13</v>
      </c>
      <c r="CD41" s="1">
        <v>3.1</v>
      </c>
      <c r="CE41" s="1">
        <v>19.7</v>
      </c>
      <c r="CG41" s="22">
        <f t="shared" si="18"/>
        <v>458.67768595041326</v>
      </c>
      <c r="CH41" s="22">
        <f t="shared" si="64"/>
        <v>359.05511811023621</v>
      </c>
      <c r="CI41" s="22">
        <f t="shared" si="80"/>
        <v>14704.049844236761</v>
      </c>
      <c r="CJ41" s="22">
        <f t="shared" si="81"/>
        <v>146.45833333333334</v>
      </c>
      <c r="CK41" s="22">
        <f t="shared" si="82"/>
        <v>73.717948717948715</v>
      </c>
      <c r="CL41" s="22">
        <v>71.059100000000001</v>
      </c>
      <c r="CM41" s="22">
        <f t="shared" si="83"/>
        <v>41.981132075471699</v>
      </c>
      <c r="CN41" s="22">
        <f t="shared" si="84"/>
        <v>0</v>
      </c>
      <c r="CO41" s="22">
        <f t="shared" si="85"/>
        <v>21.583011583011583</v>
      </c>
      <c r="CP41" s="22">
        <f t="shared" si="86"/>
        <v>0</v>
      </c>
      <c r="CQ41" s="22">
        <f t="shared" si="87"/>
        <v>15.889570552147237</v>
      </c>
      <c r="CR41" s="22">
        <f t="shared" si="88"/>
        <v>0</v>
      </c>
      <c r="CS41" s="22">
        <f t="shared" si="26"/>
        <v>12.53012048192771</v>
      </c>
      <c r="CT41" s="22">
        <f t="shared" si="71"/>
        <v>12.399999999999999</v>
      </c>
      <c r="CU41" s="22">
        <f t="shared" si="59"/>
        <v>7.7</v>
      </c>
      <c r="CV41" s="22">
        <f t="shared" si="28"/>
        <v>11.099099099099099</v>
      </c>
      <c r="CW41" s="22">
        <f t="shared" si="60"/>
        <v>0.69374999999999998</v>
      </c>
      <c r="CX41" s="20">
        <f t="shared" si="126"/>
        <v>208.32624999999999</v>
      </c>
      <c r="CY41" s="22"/>
      <c r="CZ41" s="22"/>
      <c r="DA41" s="22"/>
      <c r="DB41" s="22">
        <f t="shared" si="127"/>
        <v>3.0375000000000001</v>
      </c>
      <c r="DC41" s="22">
        <f t="shared" si="89"/>
        <v>94.769230769230774</v>
      </c>
      <c r="DD41" s="22"/>
      <c r="DE41" s="22"/>
      <c r="DF41" s="22"/>
      <c r="DG41" s="19">
        <f t="shared" si="112"/>
        <v>6.2256809338521402</v>
      </c>
      <c r="DH41" s="20">
        <f t="shared" si="32"/>
        <v>225.87423423423425</v>
      </c>
      <c r="DI41" s="19"/>
      <c r="DJ41" s="22"/>
      <c r="DK41" s="22"/>
      <c r="DL41" s="22"/>
      <c r="DM41" s="22">
        <f t="shared" si="91"/>
        <v>53.365384615384613</v>
      </c>
      <c r="DN41" s="22">
        <f t="shared" si="92"/>
        <v>0</v>
      </c>
      <c r="DO41" s="22">
        <f t="shared" si="93"/>
        <v>5.5288461538461533</v>
      </c>
      <c r="DP41" s="20"/>
      <c r="DQ41" s="22"/>
      <c r="DR41" s="22"/>
      <c r="DS41" s="19"/>
      <c r="DT41" s="23"/>
      <c r="DU41" s="22">
        <f t="shared" si="113"/>
        <v>18.910505836575876</v>
      </c>
      <c r="DV41" s="22"/>
      <c r="DW41" s="22">
        <f t="shared" si="63"/>
        <v>8.2916819137112796E-2</v>
      </c>
      <c r="DX41" s="22">
        <f t="shared" si="114"/>
        <v>32.921810699588477</v>
      </c>
      <c r="DY41" s="22">
        <f t="shared" si="46"/>
        <v>2.6748971193415638</v>
      </c>
      <c r="DZ41" s="19"/>
      <c r="EA41" s="23"/>
      <c r="EB41" s="19">
        <f t="shared" si="90"/>
        <v>8.1250000000000003E-2</v>
      </c>
      <c r="EC41" s="19"/>
      <c r="ED41" s="19"/>
      <c r="EE41" s="19">
        <f t="shared" si="115"/>
        <v>37.365076162614749</v>
      </c>
      <c r="EF41" s="19">
        <f t="shared" si="116"/>
        <v>5.6087965298093412</v>
      </c>
      <c r="EG41" s="19">
        <f t="shared" si="117"/>
        <v>6.3250277413497429</v>
      </c>
      <c r="EH41" s="19">
        <f t="shared" si="118"/>
        <v>16.049631796630688</v>
      </c>
      <c r="EI41" s="19">
        <f t="shared" si="119"/>
        <v>0.21184303439927368</v>
      </c>
      <c r="EJ41" s="19">
        <f t="shared" si="120"/>
        <v>16.947442751941896</v>
      </c>
      <c r="EK41" s="19">
        <f t="shared" si="121"/>
        <v>11.368909512761022</v>
      </c>
      <c r="EL41" s="19">
        <f t="shared" si="122"/>
        <v>2.2798345606778976</v>
      </c>
      <c r="EM41" s="19">
        <f t="shared" si="123"/>
        <v>3.0465045899324119</v>
      </c>
      <c r="EN41" s="19">
        <f t="shared" si="124"/>
        <v>0.79693331988298199</v>
      </c>
      <c r="EO41" s="19">
        <f t="shared" si="125"/>
        <v>100</v>
      </c>
    </row>
    <row r="42" spans="1:145" s="18" customFormat="1">
      <c r="A42" s="1" t="s">
        <v>231</v>
      </c>
      <c r="B42" s="1">
        <v>4</v>
      </c>
      <c r="C42" s="1" t="s">
        <v>256</v>
      </c>
      <c r="D42" s="1" t="s">
        <v>244</v>
      </c>
      <c r="F42" s="1" t="s">
        <v>255</v>
      </c>
      <c r="G42" s="1">
        <v>39.14</v>
      </c>
      <c r="H42" s="1">
        <v>4.91</v>
      </c>
      <c r="I42" s="1">
        <v>7.89</v>
      </c>
      <c r="J42" s="1">
        <v>13.9</v>
      </c>
      <c r="K42" s="1">
        <v>0.17</v>
      </c>
      <c r="L42" s="1">
        <v>12.98</v>
      </c>
      <c r="M42" s="1">
        <v>14.02</v>
      </c>
      <c r="N42" s="1">
        <v>0.64</v>
      </c>
      <c r="O42" s="1">
        <v>0.85</v>
      </c>
      <c r="P42" s="1">
        <v>0.55000000000000004</v>
      </c>
      <c r="Q42" s="1">
        <v>4.16</v>
      </c>
      <c r="R42" s="15"/>
      <c r="S42" s="15">
        <f t="shared" si="94"/>
        <v>95.05</v>
      </c>
      <c r="T42" s="16"/>
      <c r="U42" s="1">
        <v>0.70465</v>
      </c>
      <c r="V42" s="1">
        <v>0.51253499999999996</v>
      </c>
      <c r="AF42" s="19">
        <f t="shared" si="95"/>
        <v>0.68516340490231353</v>
      </c>
      <c r="AG42" s="20">
        <f t="shared" si="96"/>
        <v>29435.45</v>
      </c>
      <c r="AH42" s="20">
        <f t="shared" si="97"/>
        <v>7056.7</v>
      </c>
      <c r="AI42" s="20">
        <f t="shared" si="98"/>
        <v>2400.2000000000003</v>
      </c>
      <c r="AJ42" s="19">
        <f t="shared" si="99"/>
        <v>1.49</v>
      </c>
      <c r="AK42" s="19">
        <f t="shared" si="100"/>
        <v>1.328125</v>
      </c>
      <c r="AL42" s="19">
        <f t="shared" si="101"/>
        <v>0.75294117647058822</v>
      </c>
      <c r="AM42" s="19">
        <f t="shared" si="102"/>
        <v>1.7769328263624842</v>
      </c>
      <c r="AN42" s="19">
        <f t="shared" si="103"/>
        <v>0.10773130544993663</v>
      </c>
      <c r="AO42" s="19">
        <f t="shared" si="104"/>
        <v>0.25004450907048159</v>
      </c>
      <c r="AP42" s="19">
        <f t="shared" si="105"/>
        <v>3.9992879816373965</v>
      </c>
      <c r="AQ42" s="19">
        <f t="shared" si="106"/>
        <v>0.28729719100442469</v>
      </c>
      <c r="AR42" s="19">
        <f t="shared" si="107"/>
        <v>0.25004450907048159</v>
      </c>
      <c r="AS42" s="20">
        <f t="shared" si="108"/>
        <v>2205.133971249858</v>
      </c>
      <c r="AT42" s="20">
        <f t="shared" si="109"/>
        <v>2337.2456833824999</v>
      </c>
      <c r="AU42" s="19">
        <f t="shared" si="110"/>
        <v>2.1716913643331628E-2</v>
      </c>
      <c r="AV42" s="19">
        <f t="shared" si="111"/>
        <v>0.11660598623859383</v>
      </c>
      <c r="AX42" s="1">
        <v>44</v>
      </c>
      <c r="AY42" s="1"/>
      <c r="AZ42" s="1">
        <v>1568</v>
      </c>
      <c r="BA42" s="1">
        <v>641</v>
      </c>
      <c r="BB42" s="1">
        <v>17</v>
      </c>
      <c r="BC42" s="1">
        <v>445</v>
      </c>
      <c r="BD42" s="1">
        <v>111</v>
      </c>
      <c r="BE42" s="1">
        <v>73</v>
      </c>
      <c r="BF42" s="1"/>
      <c r="BG42" s="1">
        <v>96</v>
      </c>
      <c r="BH42" s="1">
        <v>69</v>
      </c>
      <c r="BI42" s="1">
        <v>20.2</v>
      </c>
      <c r="BJ42" s="1">
        <v>315</v>
      </c>
      <c r="BK42" s="1">
        <v>99</v>
      </c>
      <c r="BL42" s="1"/>
      <c r="BM42" s="1"/>
      <c r="BN42" s="1">
        <v>71</v>
      </c>
      <c r="BO42" s="1">
        <v>154</v>
      </c>
      <c r="BP42" s="1">
        <v>714</v>
      </c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>
        <v>8.68</v>
      </c>
      <c r="CD42" s="1">
        <v>2.2000000000000002</v>
      </c>
      <c r="CE42" s="1">
        <v>16.2</v>
      </c>
      <c r="CG42" s="22">
        <f t="shared" si="18"/>
        <v>293.38842975206614</v>
      </c>
      <c r="CH42" s="22">
        <f t="shared" si="64"/>
        <v>242.51968503937007</v>
      </c>
      <c r="CI42" s="22">
        <f t="shared" si="80"/>
        <v>7414.3302180685359</v>
      </c>
      <c r="CJ42" s="22">
        <f t="shared" si="81"/>
        <v>0</v>
      </c>
      <c r="CK42" s="22">
        <f t="shared" si="82"/>
        <v>0</v>
      </c>
      <c r="CL42" s="22">
        <v>72.059100000000001</v>
      </c>
      <c r="CM42" s="22">
        <f t="shared" si="83"/>
        <v>0</v>
      </c>
      <c r="CN42" s="22">
        <f t="shared" si="84"/>
        <v>0</v>
      </c>
      <c r="CO42" s="22">
        <f t="shared" si="85"/>
        <v>0</v>
      </c>
      <c r="CP42" s="22">
        <f t="shared" si="86"/>
        <v>0</v>
      </c>
      <c r="CQ42" s="22">
        <f t="shared" si="87"/>
        <v>0</v>
      </c>
      <c r="CR42" s="22">
        <f t="shared" si="88"/>
        <v>0</v>
      </c>
      <c r="CS42" s="22">
        <f t="shared" si="26"/>
        <v>0</v>
      </c>
      <c r="CT42" s="22">
        <f t="shared" si="71"/>
        <v>0</v>
      </c>
      <c r="CU42" s="22">
        <f t="shared" si="59"/>
        <v>15.838383838383839</v>
      </c>
      <c r="CV42" s="22">
        <f t="shared" si="28"/>
        <v>22.08450704225352</v>
      </c>
      <c r="CW42" s="22">
        <f t="shared" si="60"/>
        <v>0.71717171717171713</v>
      </c>
      <c r="CX42" s="20">
        <f t="shared" si="126"/>
        <v>297.32777777777778</v>
      </c>
      <c r="CY42" s="22"/>
      <c r="CZ42" s="22"/>
      <c r="DA42" s="22"/>
      <c r="DB42" s="22">
        <f t="shared" si="127"/>
        <v>3.1818181818181817</v>
      </c>
      <c r="DC42" s="22">
        <f t="shared" si="89"/>
        <v>180.64516129032259</v>
      </c>
      <c r="DD42" s="22"/>
      <c r="DE42" s="22"/>
      <c r="DF42" s="22"/>
      <c r="DG42" s="19">
        <f t="shared" si="112"/>
        <v>4.9009900990099009</v>
      </c>
      <c r="DH42" s="20">
        <f t="shared" si="32"/>
        <v>99.39014084507042</v>
      </c>
      <c r="DI42" s="19"/>
      <c r="DJ42" s="22"/>
      <c r="DK42" s="22"/>
      <c r="DL42" s="22"/>
      <c r="DM42" s="22"/>
      <c r="DN42" s="22"/>
      <c r="DO42" s="22"/>
      <c r="DP42" s="20"/>
      <c r="DQ42" s="22"/>
      <c r="DR42" s="22"/>
      <c r="DS42" s="19"/>
      <c r="DT42" s="23"/>
      <c r="DU42" s="22">
        <f t="shared" si="113"/>
        <v>15.594059405940595</v>
      </c>
      <c r="DV42" s="22"/>
      <c r="DW42" s="22">
        <f t="shared" si="63"/>
        <v>0.13980219121241078</v>
      </c>
      <c r="DX42" s="22">
        <f t="shared" si="114"/>
        <v>31.428571428571427</v>
      </c>
      <c r="DY42" s="22">
        <f t="shared" si="46"/>
        <v>2.7555555555555555</v>
      </c>
      <c r="DZ42" s="19"/>
      <c r="EA42" s="23"/>
      <c r="EB42" s="19">
        <f t="shared" si="90"/>
        <v>8.7676767676767672E-2</v>
      </c>
      <c r="EC42" s="19"/>
      <c r="ED42" s="19"/>
      <c r="EE42" s="19">
        <f t="shared" si="115"/>
        <v>41.178327196212521</v>
      </c>
      <c r="EF42" s="19">
        <f t="shared" si="116"/>
        <v>5.165702261967386</v>
      </c>
      <c r="EG42" s="19">
        <f t="shared" si="117"/>
        <v>8.3008942661756979</v>
      </c>
      <c r="EH42" s="19">
        <f t="shared" si="118"/>
        <v>14.62388216728038</v>
      </c>
      <c r="EI42" s="19">
        <f t="shared" si="119"/>
        <v>0.17885323513940032</v>
      </c>
      <c r="EJ42" s="19">
        <f t="shared" si="120"/>
        <v>13.655970541820095</v>
      </c>
      <c r="EK42" s="19">
        <f t="shared" si="121"/>
        <v>14.750131509731721</v>
      </c>
      <c r="EL42" s="19">
        <f t="shared" si="122"/>
        <v>0.67332982640715411</v>
      </c>
      <c r="EM42" s="19">
        <f t="shared" si="123"/>
        <v>0.89426617569700162</v>
      </c>
      <c r="EN42" s="19">
        <f t="shared" si="124"/>
        <v>0.57864281956864816</v>
      </c>
      <c r="EO42" s="19">
        <f t="shared" si="125"/>
        <v>99.999999999999986</v>
      </c>
    </row>
    <row r="43" spans="1:145" s="18" customFormat="1">
      <c r="A43" s="1" t="s">
        <v>231</v>
      </c>
      <c r="B43" s="1">
        <v>4</v>
      </c>
      <c r="C43" s="1" t="s">
        <v>256</v>
      </c>
      <c r="D43" s="1" t="s">
        <v>244</v>
      </c>
      <c r="F43" s="1" t="s">
        <v>255</v>
      </c>
      <c r="G43" s="1">
        <v>41.36</v>
      </c>
      <c r="H43" s="1">
        <v>4.75</v>
      </c>
      <c r="I43" s="1">
        <v>9.1</v>
      </c>
      <c r="J43" s="1">
        <v>15.82</v>
      </c>
      <c r="K43" s="1">
        <v>0.23</v>
      </c>
      <c r="L43" s="1">
        <v>9.6</v>
      </c>
      <c r="M43" s="1">
        <v>15.58</v>
      </c>
      <c r="N43" s="1">
        <v>1.57</v>
      </c>
      <c r="O43" s="1">
        <v>1.05</v>
      </c>
      <c r="P43" s="1">
        <v>0.93</v>
      </c>
      <c r="Q43" s="1">
        <v>3.36</v>
      </c>
      <c r="R43" s="15"/>
      <c r="S43" s="15">
        <f t="shared" si="94"/>
        <v>99.99</v>
      </c>
      <c r="T43" s="16"/>
      <c r="U43" s="1">
        <v>0.70456600000000003</v>
      </c>
      <c r="V43" s="1">
        <v>0.51252699999999995</v>
      </c>
      <c r="AF43" s="19">
        <f t="shared" si="95"/>
        <v>0.58578577602399595</v>
      </c>
      <c r="AG43" s="20">
        <f t="shared" si="96"/>
        <v>28476.25</v>
      </c>
      <c r="AH43" s="20">
        <f t="shared" si="97"/>
        <v>8717.1</v>
      </c>
      <c r="AI43" s="20">
        <f t="shared" si="98"/>
        <v>4058.5200000000004</v>
      </c>
      <c r="AJ43" s="19">
        <f t="shared" si="99"/>
        <v>2.62</v>
      </c>
      <c r="AK43" s="19">
        <f t="shared" si="100"/>
        <v>0.66878980891719741</v>
      </c>
      <c r="AL43" s="19">
        <f t="shared" si="101"/>
        <v>1.4952380952380953</v>
      </c>
      <c r="AM43" s="19">
        <f t="shared" si="102"/>
        <v>1.712087912087912</v>
      </c>
      <c r="AN43" s="19">
        <f t="shared" si="103"/>
        <v>0.11538461538461539</v>
      </c>
      <c r="AO43" s="19">
        <f t="shared" si="104"/>
        <v>0.40870552466670385</v>
      </c>
      <c r="AP43" s="19">
        <f t="shared" si="105"/>
        <v>2.4467494067164668</v>
      </c>
      <c r="AQ43" s="19">
        <f t="shared" si="106"/>
        <v>0.28397138121177956</v>
      </c>
      <c r="AR43" s="19">
        <f t="shared" si="107"/>
        <v>0.40870552466670385</v>
      </c>
      <c r="AS43" s="20">
        <f t="shared" si="108"/>
        <v>2035.5384355175729</v>
      </c>
      <c r="AT43" s="20">
        <f t="shared" si="109"/>
        <v>2232.8051883239427</v>
      </c>
      <c r="AU43" s="19">
        <f t="shared" si="110"/>
        <v>2.5386847195357835E-2</v>
      </c>
      <c r="AV43" s="19">
        <f t="shared" si="111"/>
        <v>0.12488975992160707</v>
      </c>
      <c r="AX43" s="1">
        <v>79</v>
      </c>
      <c r="AY43" s="1"/>
      <c r="AZ43" s="1">
        <v>1472</v>
      </c>
      <c r="BA43" s="1">
        <v>275</v>
      </c>
      <c r="BB43" s="1">
        <v>11</v>
      </c>
      <c r="BC43" s="1">
        <v>481</v>
      </c>
      <c r="BD43" s="1">
        <v>65</v>
      </c>
      <c r="BE43" s="1">
        <v>58</v>
      </c>
      <c r="BF43" s="1"/>
      <c r="BG43" s="1">
        <v>50</v>
      </c>
      <c r="BH43" s="1">
        <v>75</v>
      </c>
      <c r="BI43" s="1">
        <v>21</v>
      </c>
      <c r="BJ43" s="1">
        <v>273</v>
      </c>
      <c r="BK43" s="1">
        <v>96</v>
      </c>
      <c r="BL43" s="1"/>
      <c r="BM43" s="1"/>
      <c r="BN43" s="1">
        <v>82</v>
      </c>
      <c r="BO43" s="1">
        <v>189</v>
      </c>
      <c r="BP43" s="1">
        <v>1089</v>
      </c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>
        <v>5</v>
      </c>
      <c r="CD43" s="1">
        <v>1.8</v>
      </c>
      <c r="CE43" s="1">
        <v>19.2</v>
      </c>
      <c r="CG43" s="22">
        <f t="shared" si="18"/>
        <v>338.84297520661158</v>
      </c>
      <c r="CH43" s="22">
        <f t="shared" si="64"/>
        <v>297.63779527559052</v>
      </c>
      <c r="CI43" s="22">
        <f t="shared" si="80"/>
        <v>11308.411214953272</v>
      </c>
      <c r="CJ43" s="22">
        <f t="shared" si="81"/>
        <v>0</v>
      </c>
      <c r="CK43" s="22">
        <f t="shared" si="82"/>
        <v>0</v>
      </c>
      <c r="CL43" s="22">
        <v>73.059100000000001</v>
      </c>
      <c r="CM43" s="22">
        <f t="shared" si="83"/>
        <v>0</v>
      </c>
      <c r="CN43" s="22">
        <f t="shared" si="84"/>
        <v>0</v>
      </c>
      <c r="CO43" s="22">
        <f t="shared" si="85"/>
        <v>0</v>
      </c>
      <c r="CP43" s="22">
        <f t="shared" si="86"/>
        <v>0</v>
      </c>
      <c r="CQ43" s="22">
        <f t="shared" si="87"/>
        <v>0</v>
      </c>
      <c r="CR43" s="22">
        <f t="shared" si="88"/>
        <v>0</v>
      </c>
      <c r="CS43" s="22">
        <f t="shared" si="26"/>
        <v>0</v>
      </c>
      <c r="CT43" s="22">
        <f t="shared" si="71"/>
        <v>0</v>
      </c>
      <c r="CU43" s="22">
        <f t="shared" si="59"/>
        <v>15.333333333333334</v>
      </c>
      <c r="CV43" s="22">
        <f t="shared" si="28"/>
        <v>17.951219512195124</v>
      </c>
      <c r="CW43" s="22">
        <f t="shared" si="60"/>
        <v>0.85416666666666663</v>
      </c>
      <c r="CX43" s="20">
        <f t="shared" si="126"/>
        <v>296.62760416666669</v>
      </c>
      <c r="CY43" s="22"/>
      <c r="CZ43" s="22"/>
      <c r="DA43" s="22"/>
      <c r="DB43" s="22">
        <f t="shared" si="127"/>
        <v>2.84375</v>
      </c>
      <c r="DC43" s="22">
        <f t="shared" si="89"/>
        <v>294.39999999999998</v>
      </c>
      <c r="DD43" s="22"/>
      <c r="DE43" s="22"/>
      <c r="DF43" s="22"/>
      <c r="DG43" s="19">
        <f t="shared" si="112"/>
        <v>4.5714285714285712</v>
      </c>
      <c r="DH43" s="20">
        <f t="shared" si="32"/>
        <v>106.30609756097562</v>
      </c>
      <c r="DI43" s="19"/>
      <c r="DJ43" s="22"/>
      <c r="DK43" s="22"/>
      <c r="DL43" s="22"/>
      <c r="DM43" s="22"/>
      <c r="DN43" s="22"/>
      <c r="DO43" s="22"/>
      <c r="DP43" s="20"/>
      <c r="DQ43" s="22"/>
      <c r="DR43" s="22"/>
      <c r="DS43" s="19"/>
      <c r="DT43" s="23"/>
      <c r="DU43" s="22">
        <f t="shared" si="113"/>
        <v>13</v>
      </c>
      <c r="DV43" s="22"/>
      <c r="DW43" s="22">
        <f t="shared" si="63"/>
        <v>0.26128070187652286</v>
      </c>
      <c r="DX43" s="22">
        <f t="shared" si="114"/>
        <v>35.164835164835168</v>
      </c>
      <c r="DY43" s="22">
        <f t="shared" si="46"/>
        <v>1.8315018315018314</v>
      </c>
      <c r="DZ43" s="19"/>
      <c r="EA43" s="23"/>
      <c r="EB43" s="19">
        <f t="shared" si="90"/>
        <v>5.2083333333333336E-2</v>
      </c>
      <c r="EC43" s="19"/>
      <c r="ED43" s="19"/>
      <c r="EE43" s="19">
        <f t="shared" si="115"/>
        <v>41.364136413641369</v>
      </c>
      <c r="EF43" s="19">
        <f t="shared" si="116"/>
        <v>4.750475047504751</v>
      </c>
      <c r="EG43" s="19">
        <f t="shared" si="117"/>
        <v>9.1009100910091014</v>
      </c>
      <c r="EH43" s="19">
        <f t="shared" si="118"/>
        <v>15.821582158215822</v>
      </c>
      <c r="EI43" s="19">
        <f t="shared" si="119"/>
        <v>0.23002300230023004</v>
      </c>
      <c r="EJ43" s="19">
        <f t="shared" si="120"/>
        <v>9.6009600960096009</v>
      </c>
      <c r="EK43" s="19">
        <f t="shared" si="121"/>
        <v>15.581558155815582</v>
      </c>
      <c r="EL43" s="19">
        <f t="shared" si="122"/>
        <v>1.5701570157015703</v>
      </c>
      <c r="EM43" s="19">
        <f t="shared" si="123"/>
        <v>1.0501050105010501</v>
      </c>
      <c r="EN43" s="19">
        <f t="shared" si="124"/>
        <v>0.9300930093009302</v>
      </c>
      <c r="EO43" s="19">
        <f t="shared" si="125"/>
        <v>100.00000000000001</v>
      </c>
    </row>
    <row r="44" spans="1:145" s="18" customFormat="1">
      <c r="A44" s="1" t="s">
        <v>231</v>
      </c>
      <c r="B44" s="1">
        <v>4</v>
      </c>
      <c r="C44" s="1" t="s">
        <v>256</v>
      </c>
      <c r="D44" s="1" t="s">
        <v>244</v>
      </c>
      <c r="F44" s="1" t="s">
        <v>255</v>
      </c>
      <c r="G44" s="1">
        <v>44.75</v>
      </c>
      <c r="H44" s="1">
        <v>3.64</v>
      </c>
      <c r="I44" s="1">
        <v>12.31</v>
      </c>
      <c r="J44" s="1">
        <v>13.62</v>
      </c>
      <c r="K44" s="1">
        <v>0.19</v>
      </c>
      <c r="L44" s="1">
        <v>6.98</v>
      </c>
      <c r="M44" s="1">
        <v>10.99</v>
      </c>
      <c r="N44" s="1">
        <v>2.75</v>
      </c>
      <c r="O44" s="1">
        <v>2.09</v>
      </c>
      <c r="P44" s="1">
        <v>0.51</v>
      </c>
      <c r="Q44" s="1">
        <v>1.37</v>
      </c>
      <c r="R44" s="15"/>
      <c r="S44" s="15">
        <f t="shared" si="94"/>
        <v>97.830000000000013</v>
      </c>
      <c r="T44" s="16"/>
      <c r="U44" s="1">
        <v>0.70457999999999998</v>
      </c>
      <c r="V44" s="1">
        <v>0.51245600000000002</v>
      </c>
      <c r="AF44" s="19">
        <f t="shared" si="95"/>
        <v>0.54428176331788392</v>
      </c>
      <c r="AG44" s="20">
        <f t="shared" si="96"/>
        <v>21821.8</v>
      </c>
      <c r="AH44" s="20">
        <f t="shared" si="97"/>
        <v>17351.18</v>
      </c>
      <c r="AI44" s="20">
        <f t="shared" si="98"/>
        <v>2225.64</v>
      </c>
      <c r="AJ44" s="19">
        <f t="shared" si="99"/>
        <v>4.84</v>
      </c>
      <c r="AK44" s="19">
        <f t="shared" si="100"/>
        <v>0.7599999999999999</v>
      </c>
      <c r="AL44" s="19">
        <f t="shared" si="101"/>
        <v>1.3157894736842106</v>
      </c>
      <c r="AM44" s="19">
        <f t="shared" si="102"/>
        <v>0.89277010560519898</v>
      </c>
      <c r="AN44" s="19">
        <f t="shared" si="103"/>
        <v>0.16978066612510154</v>
      </c>
      <c r="AO44" s="19">
        <f t="shared" si="104"/>
        <v>0.55126308057830431</v>
      </c>
      <c r="AP44" s="19">
        <f t="shared" si="105"/>
        <v>1.8140159122409336</v>
      </c>
      <c r="AQ44" s="19">
        <f t="shared" si="106"/>
        <v>0.45989199900465239</v>
      </c>
      <c r="AR44" s="19">
        <f t="shared" si="107"/>
        <v>0.55126308057830431</v>
      </c>
      <c r="AS44" s="20">
        <f t="shared" si="108"/>
        <v>2029.5577740588787</v>
      </c>
      <c r="AT44" s="20">
        <f t="shared" si="109"/>
        <v>1679.3988172498725</v>
      </c>
      <c r="AU44" s="19">
        <f t="shared" si="110"/>
        <v>4.6703910614525133E-2</v>
      </c>
      <c r="AV44" s="19">
        <f t="shared" si="111"/>
        <v>0.18376684414135191</v>
      </c>
      <c r="AX44" s="1">
        <v>36</v>
      </c>
      <c r="AY44" s="1"/>
      <c r="AZ44" s="1">
        <v>945</v>
      </c>
      <c r="BA44" s="1">
        <v>444</v>
      </c>
      <c r="BB44" s="1"/>
      <c r="BC44" s="1">
        <v>329</v>
      </c>
      <c r="BD44" s="1">
        <v>92</v>
      </c>
      <c r="BE44" s="1">
        <v>155</v>
      </c>
      <c r="BF44" s="1"/>
      <c r="BG44" s="1"/>
      <c r="BH44" s="1"/>
      <c r="BI44" s="1">
        <v>29.1</v>
      </c>
      <c r="BJ44" s="1">
        <v>371</v>
      </c>
      <c r="BK44" s="1">
        <v>83</v>
      </c>
      <c r="BL44" s="1"/>
      <c r="BM44" s="1"/>
      <c r="BN44" s="1">
        <v>67</v>
      </c>
      <c r="BO44" s="1">
        <v>145</v>
      </c>
      <c r="BP44" s="1">
        <v>906</v>
      </c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>
        <v>7.16</v>
      </c>
      <c r="CD44" s="1"/>
      <c r="CE44" s="1"/>
      <c r="CG44" s="22">
        <f t="shared" si="18"/>
        <v>276.85950413223139</v>
      </c>
      <c r="CH44" s="22">
        <f t="shared" si="64"/>
        <v>228.34645669291339</v>
      </c>
      <c r="CI44" s="22">
        <f t="shared" si="80"/>
        <v>9408.0996884735214</v>
      </c>
      <c r="CJ44" s="22">
        <f t="shared" si="81"/>
        <v>0</v>
      </c>
      <c r="CK44" s="22">
        <f t="shared" si="82"/>
        <v>0</v>
      </c>
      <c r="CL44" s="22">
        <v>74.059100000000001</v>
      </c>
      <c r="CM44" s="22">
        <f t="shared" si="83"/>
        <v>0</v>
      </c>
      <c r="CN44" s="22">
        <f t="shared" si="84"/>
        <v>0</v>
      </c>
      <c r="CO44" s="22">
        <f t="shared" si="85"/>
        <v>0</v>
      </c>
      <c r="CP44" s="22">
        <f t="shared" si="86"/>
        <v>0</v>
      </c>
      <c r="CQ44" s="22">
        <f t="shared" si="87"/>
        <v>0</v>
      </c>
      <c r="CR44" s="22">
        <f t="shared" si="88"/>
        <v>0</v>
      </c>
      <c r="CS44" s="22">
        <f t="shared" si="26"/>
        <v>0</v>
      </c>
      <c r="CT44" s="22">
        <f t="shared" si="71"/>
        <v>0</v>
      </c>
      <c r="CU44" s="22">
        <f t="shared" si="59"/>
        <v>11.385542168674698</v>
      </c>
      <c r="CV44" s="22">
        <f t="shared" si="28"/>
        <v>14.104477611940299</v>
      </c>
      <c r="CW44" s="22">
        <f t="shared" si="60"/>
        <v>0.80722891566265065</v>
      </c>
      <c r="CX44" s="20">
        <f t="shared" si="126"/>
        <v>262.91325301204819</v>
      </c>
      <c r="CY44" s="22"/>
      <c r="CZ44" s="22"/>
      <c r="DA44" s="22"/>
      <c r="DB44" s="22">
        <f t="shared" si="127"/>
        <v>4.4698795180722888</v>
      </c>
      <c r="DC44" s="22">
        <f t="shared" si="89"/>
        <v>131.9832402234637</v>
      </c>
      <c r="DD44" s="22"/>
      <c r="DE44" s="22"/>
      <c r="DF44" s="22"/>
      <c r="DG44" s="19">
        <f t="shared" si="112"/>
        <v>2.8522336769759451</v>
      </c>
      <c r="DH44" s="20">
        <f t="shared" si="32"/>
        <v>258.97283582089551</v>
      </c>
      <c r="DI44" s="19"/>
      <c r="DJ44" s="22"/>
      <c r="DK44" s="22"/>
      <c r="DL44" s="22"/>
      <c r="DM44" s="22"/>
      <c r="DN44" s="22"/>
      <c r="DO44" s="22"/>
      <c r="DP44" s="20"/>
      <c r="DQ44" s="22"/>
      <c r="DR44" s="22"/>
      <c r="DS44" s="19"/>
      <c r="DT44" s="23"/>
      <c r="DU44" s="22">
        <f t="shared" si="113"/>
        <v>12.749140893470789</v>
      </c>
      <c r="DV44" s="22"/>
      <c r="DW44" s="22">
        <f t="shared" si="63"/>
        <v>7.2661735782220571E-2</v>
      </c>
      <c r="DX44" s="22">
        <f t="shared" si="114"/>
        <v>22.371967654986523</v>
      </c>
      <c r="DY44" s="22">
        <f t="shared" si="46"/>
        <v>1.9299191374663074</v>
      </c>
      <c r="DZ44" s="19"/>
      <c r="EA44" s="23"/>
      <c r="EB44" s="19">
        <f t="shared" si="90"/>
        <v>8.6265060240963851E-2</v>
      </c>
      <c r="EC44" s="19"/>
      <c r="ED44" s="19"/>
      <c r="EE44" s="19">
        <f t="shared" si="115"/>
        <v>45.742614739854844</v>
      </c>
      <c r="EF44" s="19">
        <f t="shared" si="116"/>
        <v>3.7207400592865167</v>
      </c>
      <c r="EG44" s="19">
        <f t="shared" si="117"/>
        <v>12.583052233466216</v>
      </c>
      <c r="EH44" s="19">
        <f t="shared" si="118"/>
        <v>13.922109782275374</v>
      </c>
      <c r="EI44" s="19">
        <f t="shared" si="119"/>
        <v>0.19421445364407644</v>
      </c>
      <c r="EJ44" s="19">
        <f t="shared" si="120"/>
        <v>7.1348257180823866</v>
      </c>
      <c r="EK44" s="19">
        <f t="shared" si="121"/>
        <v>11.233772871307368</v>
      </c>
      <c r="EL44" s="19">
        <f t="shared" si="122"/>
        <v>2.8109986711642643</v>
      </c>
      <c r="EM44" s="19">
        <f t="shared" si="123"/>
        <v>2.1363589900848408</v>
      </c>
      <c r="EN44" s="19">
        <f t="shared" si="124"/>
        <v>0.52131248083409987</v>
      </c>
      <c r="EO44" s="19">
        <f t="shared" si="125"/>
        <v>99.999999999999986</v>
      </c>
    </row>
    <row r="45" spans="1:145" s="30" customFormat="1" ht="14.5" customHeight="1">
      <c r="A45" s="24" t="s">
        <v>231</v>
      </c>
      <c r="B45" s="24">
        <v>4</v>
      </c>
      <c r="C45" s="24" t="s">
        <v>254</v>
      </c>
      <c r="D45" s="24" t="s">
        <v>253</v>
      </c>
      <c r="E45" s="24" t="s">
        <v>63</v>
      </c>
      <c r="F45" s="25"/>
      <c r="G45" s="26">
        <v>43.94</v>
      </c>
      <c r="H45" s="26">
        <v>3.83</v>
      </c>
      <c r="I45" s="26">
        <v>11.48</v>
      </c>
      <c r="J45" s="26">
        <v>13.29</v>
      </c>
      <c r="K45" s="26">
        <v>0.23</v>
      </c>
      <c r="L45" s="26">
        <v>7.75</v>
      </c>
      <c r="M45" s="26">
        <v>12.92</v>
      </c>
      <c r="N45" s="26">
        <v>4.45</v>
      </c>
      <c r="O45" s="26">
        <v>1.24</v>
      </c>
      <c r="P45" s="26">
        <v>0.87</v>
      </c>
      <c r="Q45" s="26">
        <v>2.39</v>
      </c>
      <c r="R45" s="27"/>
      <c r="S45" s="27">
        <f t="shared" si="94"/>
        <v>100</v>
      </c>
      <c r="T45" s="28"/>
      <c r="U45" s="29"/>
      <c r="V45" s="29"/>
      <c r="AF45" s="31">
        <f t="shared" si="95"/>
        <v>0.57609512063481427</v>
      </c>
      <c r="AG45" s="32">
        <f t="shared" si="96"/>
        <v>22960.850000000002</v>
      </c>
      <c r="AH45" s="32">
        <f t="shared" si="97"/>
        <v>10294.48</v>
      </c>
      <c r="AI45" s="32">
        <f t="shared" si="98"/>
        <v>3796.68</v>
      </c>
      <c r="AJ45" s="31">
        <f t="shared" si="99"/>
        <v>5.69</v>
      </c>
      <c r="AK45" s="31">
        <f t="shared" si="100"/>
        <v>0.27865168539325841</v>
      </c>
      <c r="AL45" s="31">
        <f t="shared" si="101"/>
        <v>3.588709677419355</v>
      </c>
      <c r="AM45" s="31">
        <f t="shared" si="102"/>
        <v>1.1254355400696863</v>
      </c>
      <c r="AN45" s="31">
        <f t="shared" si="103"/>
        <v>0.10801393728222997</v>
      </c>
      <c r="AO45" s="31">
        <f t="shared" si="104"/>
        <v>0.75458247667979916</v>
      </c>
      <c r="AP45" s="31">
        <f t="shared" si="105"/>
        <v>1.3252361814709113</v>
      </c>
      <c r="AQ45" s="31">
        <f t="shared" si="106"/>
        <v>0.35704646260705869</v>
      </c>
      <c r="AR45" s="31">
        <f t="shared" si="107"/>
        <v>0.75458247667979916</v>
      </c>
      <c r="AS45" s="32">
        <f t="shared" si="108"/>
        <v>1728.5102219848209</v>
      </c>
      <c r="AT45" s="32">
        <f t="shared" si="109"/>
        <v>1879.5195427171602</v>
      </c>
      <c r="AU45" s="31">
        <f t="shared" si="110"/>
        <v>2.8220300409649523E-2</v>
      </c>
      <c r="AV45" s="31">
        <f t="shared" si="111"/>
        <v>0.11691190069316525</v>
      </c>
      <c r="AX45" s="24">
        <v>44</v>
      </c>
      <c r="AY45" s="24">
        <v>1346</v>
      </c>
      <c r="AZ45" s="24">
        <v>1590</v>
      </c>
      <c r="BA45" s="24"/>
      <c r="BB45" s="24"/>
      <c r="BC45" s="24"/>
      <c r="BD45" s="24">
        <v>219</v>
      </c>
      <c r="BE45" s="24"/>
      <c r="BF45" s="24">
        <v>63</v>
      </c>
      <c r="BG45" s="24"/>
      <c r="BH45" s="24"/>
      <c r="BI45" s="24">
        <v>23</v>
      </c>
      <c r="BJ45" s="24">
        <v>418</v>
      </c>
      <c r="BK45" s="24">
        <v>130</v>
      </c>
      <c r="BL45" s="24">
        <v>10</v>
      </c>
      <c r="BM45" s="24"/>
      <c r="BN45" s="24">
        <v>113</v>
      </c>
      <c r="BO45" s="24">
        <v>253</v>
      </c>
      <c r="BP45" s="24"/>
      <c r="BQ45" s="24">
        <v>102</v>
      </c>
      <c r="BR45" s="24">
        <v>13.44</v>
      </c>
      <c r="BS45" s="24">
        <v>3.07</v>
      </c>
      <c r="BT45" s="24">
        <v>7.18</v>
      </c>
      <c r="BU45" s="24"/>
      <c r="BV45" s="24">
        <v>4.46</v>
      </c>
      <c r="BW45" s="24">
        <v>0.79800000000000004</v>
      </c>
      <c r="BX45" s="24">
        <v>1.6819999999999999</v>
      </c>
      <c r="BY45" s="24"/>
      <c r="BZ45" s="24">
        <v>0.91700000000000004</v>
      </c>
      <c r="CA45" s="24">
        <v>0.13300000000000001</v>
      </c>
      <c r="CB45" s="24"/>
      <c r="CC45" s="24"/>
      <c r="CD45" s="24"/>
      <c r="CE45" s="33"/>
      <c r="CG45" s="34">
        <f t="shared" si="18"/>
        <v>466.94214876033061</v>
      </c>
      <c r="CH45" s="34">
        <f t="shared" si="64"/>
        <v>398.42519685039372</v>
      </c>
      <c r="CI45" s="34"/>
      <c r="CJ45" s="34">
        <f t="shared" si="81"/>
        <v>212.5</v>
      </c>
      <c r="CK45" s="34">
        <f t="shared" si="82"/>
        <v>86.153846153846146</v>
      </c>
      <c r="CL45" s="34">
        <v>50.059100000000001</v>
      </c>
      <c r="CM45" s="34">
        <f t="shared" si="83"/>
        <v>33.867924528301884</v>
      </c>
      <c r="CN45" s="34"/>
      <c r="CO45" s="34">
        <f t="shared" si="85"/>
        <v>17.220077220077219</v>
      </c>
      <c r="CP45" s="34">
        <f t="shared" si="86"/>
        <v>13.641025641025641</v>
      </c>
      <c r="CQ45" s="34">
        <f t="shared" si="87"/>
        <v>10.319018404907975</v>
      </c>
      <c r="CR45" s="34"/>
      <c r="CS45" s="34">
        <f t="shared" si="26"/>
        <v>5.524096385542169</v>
      </c>
      <c r="CT45" s="34">
        <f t="shared" si="71"/>
        <v>5.32</v>
      </c>
      <c r="CU45" s="34">
        <f t="shared" si="59"/>
        <v>12.23076923076923</v>
      </c>
      <c r="CV45" s="34">
        <f t="shared" si="28"/>
        <v>14.070796460176991</v>
      </c>
      <c r="CW45" s="34">
        <f t="shared" si="60"/>
        <v>0.86923076923076925</v>
      </c>
      <c r="CX45" s="32">
        <f t="shared" si="126"/>
        <v>176.62192307692308</v>
      </c>
      <c r="CY45" s="34"/>
      <c r="CZ45" s="34"/>
      <c r="DA45" s="34">
        <f>AX45/BR45</f>
        <v>3.2738095238095237</v>
      </c>
      <c r="DB45" s="34">
        <f t="shared" si="127"/>
        <v>3.2153846153846155</v>
      </c>
      <c r="DC45" s="34"/>
      <c r="DD45" s="34"/>
      <c r="DE45" s="34"/>
      <c r="DF45" s="34"/>
      <c r="DG45" s="31">
        <f t="shared" si="112"/>
        <v>5.6521739130434785</v>
      </c>
      <c r="DH45" s="32">
        <f t="shared" si="32"/>
        <v>91.10159292035398</v>
      </c>
      <c r="DI45" s="31"/>
      <c r="DJ45" s="34">
        <f>BN45/CA45</f>
        <v>849.62406015037584</v>
      </c>
      <c r="DK45" s="34">
        <f>CG45/CT45</f>
        <v>87.771080594047106</v>
      </c>
      <c r="DL45" s="34">
        <f>CG45/CK45</f>
        <v>5.4198642266824093</v>
      </c>
      <c r="DM45" s="34">
        <f>BN45/BZ45</f>
        <v>123.22791712104689</v>
      </c>
      <c r="DN45" s="34">
        <f>BL45/BQ45</f>
        <v>9.8039215686274508E-2</v>
      </c>
      <c r="DO45" s="34">
        <f>BR45/BZ45</f>
        <v>14.65648854961832</v>
      </c>
      <c r="DP45" s="32">
        <f>AY45/BZ45</f>
        <v>1467.8298800436205</v>
      </c>
      <c r="DQ45" s="34">
        <f>AY45/BQ45</f>
        <v>13.196078431372548</v>
      </c>
      <c r="DR45" s="34">
        <f>AY45/(((BR45/0.195)*(BT45/0.259))^0.5)</f>
        <v>30.792885784501038</v>
      </c>
      <c r="DS45" s="31">
        <f>(BS45/0.074)/(((BR45/0.195)*(BT45/0.259))^0.5)</f>
        <v>0.94910002970180096</v>
      </c>
      <c r="DT45" s="35">
        <f t="shared" ref="DT45:DT51" si="128">1/AY45</f>
        <v>7.429420505200594E-4</v>
      </c>
      <c r="DU45" s="34">
        <f t="shared" si="113"/>
        <v>18.173913043478262</v>
      </c>
      <c r="DV45" s="34"/>
      <c r="DW45" s="34">
        <f t="shared" si="63"/>
        <v>7.4074500434954782E-2</v>
      </c>
      <c r="DX45" s="34">
        <f t="shared" si="114"/>
        <v>31.100478468899521</v>
      </c>
      <c r="DY45" s="34">
        <f t="shared" si="46"/>
        <v>0</v>
      </c>
      <c r="DZ45" s="31">
        <f t="shared" ref="DZ45:DZ51" si="129">EK45*100/AY45</f>
        <v>0.95988112927191682</v>
      </c>
      <c r="EA45" s="35"/>
      <c r="EB45" s="31"/>
      <c r="EC45" s="31"/>
      <c r="ED45" s="31"/>
      <c r="EE45" s="31">
        <f t="shared" si="115"/>
        <v>43.94</v>
      </c>
      <c r="EF45" s="31">
        <f t="shared" si="116"/>
        <v>3.83</v>
      </c>
      <c r="EG45" s="31">
        <f t="shared" si="117"/>
        <v>11.48</v>
      </c>
      <c r="EH45" s="31">
        <f t="shared" si="118"/>
        <v>13.29</v>
      </c>
      <c r="EI45" s="31">
        <f t="shared" si="119"/>
        <v>0.23</v>
      </c>
      <c r="EJ45" s="31">
        <f t="shared" si="120"/>
        <v>7.75</v>
      </c>
      <c r="EK45" s="31">
        <f t="shared" si="121"/>
        <v>12.92</v>
      </c>
      <c r="EL45" s="31">
        <f t="shared" si="122"/>
        <v>4.45</v>
      </c>
      <c r="EM45" s="31">
        <f t="shared" si="123"/>
        <v>1.24</v>
      </c>
      <c r="EN45" s="31">
        <f t="shared" si="124"/>
        <v>0.87</v>
      </c>
      <c r="EO45" s="31">
        <f t="shared" si="125"/>
        <v>100</v>
      </c>
    </row>
    <row r="46" spans="1:145" s="18" customFormat="1" ht="15" customHeight="1">
      <c r="A46" s="1" t="s">
        <v>231</v>
      </c>
      <c r="B46" s="1">
        <v>3</v>
      </c>
      <c r="C46" s="12" t="s">
        <v>252</v>
      </c>
      <c r="D46" s="36" t="s">
        <v>251</v>
      </c>
      <c r="E46" s="12" t="s">
        <v>63</v>
      </c>
      <c r="F46" s="13" t="s">
        <v>229</v>
      </c>
      <c r="G46" s="15">
        <v>42.573267595440569</v>
      </c>
      <c r="H46" s="15">
        <v>3.7143645593470818</v>
      </c>
      <c r="I46" s="15">
        <v>7.0653806703503941</v>
      </c>
      <c r="J46" s="15">
        <v>13.637172481626228</v>
      </c>
      <c r="K46" s="15">
        <v>0.20754753636562323</v>
      </c>
      <c r="L46" s="15">
        <v>13.957294410519372</v>
      </c>
      <c r="M46" s="15">
        <v>10.093170889582449</v>
      </c>
      <c r="N46" s="15">
        <v>2.2131245043616175</v>
      </c>
      <c r="O46" s="15">
        <v>1.4241889062720934</v>
      </c>
      <c r="P46" s="15">
        <v>1.2124995923691506</v>
      </c>
      <c r="Q46" s="15">
        <v>5.5171733122778708</v>
      </c>
      <c r="R46" s="15"/>
      <c r="S46" s="15">
        <f t="shared" si="94"/>
        <v>96.098011146234583</v>
      </c>
      <c r="T46" s="16"/>
      <c r="U46" s="37"/>
      <c r="V46" s="37"/>
      <c r="AF46" s="19">
        <f t="shared" si="95"/>
        <v>0.70459703718010469</v>
      </c>
      <c r="AG46" s="20">
        <f t="shared" si="96"/>
        <v>22267.615533285756</v>
      </c>
      <c r="AH46" s="20">
        <f t="shared" si="97"/>
        <v>11823.616299870919</v>
      </c>
      <c r="AI46" s="20">
        <f t="shared" si="98"/>
        <v>5291.3482210989732</v>
      </c>
      <c r="AJ46" s="19">
        <f t="shared" si="99"/>
        <v>3.6373134106337108</v>
      </c>
      <c r="AK46" s="19">
        <f t="shared" si="100"/>
        <v>0.64351955954818951</v>
      </c>
      <c r="AL46" s="19">
        <f t="shared" si="101"/>
        <v>1.5539543206768924</v>
      </c>
      <c r="AM46" s="19">
        <f t="shared" si="102"/>
        <v>1.4285388658445628</v>
      </c>
      <c r="AN46" s="19">
        <f t="shared" si="103"/>
        <v>0.20157284833195879</v>
      </c>
      <c r="AO46" s="19">
        <f t="shared" si="104"/>
        <v>0.73346422890267671</v>
      </c>
      <c r="AP46" s="19">
        <f t="shared" si="105"/>
        <v>1.3633930062221069</v>
      </c>
      <c r="AQ46" s="19">
        <f t="shared" si="106"/>
        <v>0.30023583602274156</v>
      </c>
      <c r="AR46" s="19">
        <f t="shared" si="107"/>
        <v>0.73346422890267671</v>
      </c>
      <c r="AS46" s="20">
        <f t="shared" si="108"/>
        <v>2093.225813640468</v>
      </c>
      <c r="AT46" s="20">
        <f t="shared" si="109"/>
        <v>1916.6201110482336</v>
      </c>
      <c r="AU46" s="19">
        <f t="shared" si="110"/>
        <v>3.3452656718898841E-2</v>
      </c>
      <c r="AV46" s="19">
        <f t="shared" si="111"/>
        <v>0.2181780001690713</v>
      </c>
      <c r="AX46" s="16">
        <v>208.13795154123969</v>
      </c>
      <c r="AY46" s="16">
        <v>1555.7449345012051</v>
      </c>
      <c r="AZ46" s="16">
        <v>3789.6265870201587</v>
      </c>
      <c r="BA46" s="38">
        <v>42.050904000000003</v>
      </c>
      <c r="BB46" s="16">
        <v>20.678353240024467</v>
      </c>
      <c r="BC46" s="16">
        <v>176.86155437486187</v>
      </c>
      <c r="BD46" s="16">
        <v>784.5872961897137</v>
      </c>
      <c r="BF46" s="16">
        <v>519.72869761797085</v>
      </c>
      <c r="BG46" s="16">
        <v>80.550384791185024</v>
      </c>
      <c r="BH46" s="16">
        <v>116.25271361763095</v>
      </c>
      <c r="BI46" s="16">
        <v>35.068660381885742</v>
      </c>
      <c r="BJ46" s="16">
        <v>393.06996196424143</v>
      </c>
      <c r="BK46" s="16">
        <v>134.9599225527638</v>
      </c>
      <c r="BL46" s="38">
        <v>12.898358999999999</v>
      </c>
      <c r="BM46" s="38">
        <v>8.1623819999999991</v>
      </c>
      <c r="BN46" s="39">
        <v>220.209551</v>
      </c>
      <c r="BO46" s="39">
        <v>459.05809199999999</v>
      </c>
      <c r="BP46" s="38">
        <v>38.855237879999997</v>
      </c>
      <c r="BQ46" s="39">
        <v>124.50892497012003</v>
      </c>
      <c r="BR46" s="38">
        <v>22.484908000000001</v>
      </c>
      <c r="BS46" s="38">
        <v>6.0852329999999997</v>
      </c>
      <c r="BT46" s="38">
        <v>14.418172999999999</v>
      </c>
      <c r="BU46" s="38">
        <v>1.7625470000000001</v>
      </c>
      <c r="BV46" s="38">
        <v>8.2359849999999994</v>
      </c>
      <c r="BW46" s="38">
        <v>1.2965167399999999</v>
      </c>
      <c r="BX46" s="38">
        <v>3.2716789999999998</v>
      </c>
      <c r="BY46" s="38">
        <v>0.42217705440000003</v>
      </c>
      <c r="BZ46" s="38">
        <v>2.5161445900000001</v>
      </c>
      <c r="CA46" s="38">
        <v>0.30105599999999999</v>
      </c>
      <c r="CB46" s="38">
        <v>11.633936</v>
      </c>
      <c r="CC46" s="38">
        <v>20.885221000000001</v>
      </c>
      <c r="CD46" s="38">
        <v>4.0595619999999997</v>
      </c>
      <c r="CE46" s="38">
        <v>15.539823</v>
      </c>
      <c r="CG46" s="22">
        <f t="shared" si="18"/>
        <v>909.95682231404965</v>
      </c>
      <c r="CH46" s="22">
        <f t="shared" si="64"/>
        <v>722.92612913385824</v>
      </c>
      <c r="CI46" s="22">
        <f>BP46/0.0963</f>
        <v>403.48118255451709</v>
      </c>
      <c r="CJ46" s="22">
        <f t="shared" si="81"/>
        <v>259.39359368775007</v>
      </c>
      <c r="CK46" s="22">
        <f t="shared" si="82"/>
        <v>144.13402564102566</v>
      </c>
      <c r="CL46" s="22">
        <v>5.91E-2</v>
      </c>
      <c r="CM46" s="22">
        <f t="shared" si="83"/>
        <v>68.010249999999999</v>
      </c>
      <c r="CN46" s="22">
        <f>BU46/0.0376</f>
        <v>46.876249999999999</v>
      </c>
      <c r="CO46" s="22">
        <f t="shared" si="85"/>
        <v>31.799169884169881</v>
      </c>
      <c r="CP46" s="22">
        <f t="shared" si="86"/>
        <v>22.162679316239313</v>
      </c>
      <c r="CQ46" s="22">
        <f t="shared" si="87"/>
        <v>20.071650306748463</v>
      </c>
      <c r="CR46" s="22">
        <f>BY46/0.0256</f>
        <v>16.4912911875</v>
      </c>
      <c r="CS46" s="22">
        <f t="shared" si="26"/>
        <v>15.157497530120482</v>
      </c>
      <c r="CT46" s="22">
        <f t="shared" si="71"/>
        <v>12.04224</v>
      </c>
      <c r="CU46" s="22">
        <f t="shared" si="59"/>
        <v>28.079644055357026</v>
      </c>
      <c r="CV46" s="22">
        <f t="shared" si="28"/>
        <v>17.209183569972215</v>
      </c>
      <c r="CW46" s="22">
        <f t="shared" si="60"/>
        <v>1.6316662519860821</v>
      </c>
      <c r="CX46" s="20">
        <f t="shared" si="126"/>
        <v>164.99428209570905</v>
      </c>
      <c r="CY46" s="22">
        <f>BO46/CB46</f>
        <v>39.458536818493755</v>
      </c>
      <c r="CZ46" s="22">
        <f>BK46/CD46</f>
        <v>33.244946758483749</v>
      </c>
      <c r="DA46" s="22">
        <f>AX46/BR46</f>
        <v>9.2567846637949192</v>
      </c>
      <c r="DB46" s="22">
        <f t="shared" si="127"/>
        <v>2.91249397991146</v>
      </c>
      <c r="DC46" s="22">
        <f>AZ46/CC46</f>
        <v>181.45015496939959</v>
      </c>
      <c r="DD46" s="22">
        <f>CC46/BM46</f>
        <v>2.558716438412219</v>
      </c>
      <c r="DE46" s="22">
        <f>BM46/BZ46</f>
        <v>3.2440035570451848</v>
      </c>
      <c r="DF46" s="22">
        <f>CC46/BZ46</f>
        <v>8.3004852276792249</v>
      </c>
      <c r="DG46" s="19">
        <f t="shared" si="112"/>
        <v>3.8484481894402669</v>
      </c>
      <c r="DH46" s="20">
        <f t="shared" si="32"/>
        <v>53.692568038844591</v>
      </c>
      <c r="DI46" s="19">
        <f>(BK46/0.46)/((O46/0.023)*(CD46/0.017))^0.5</f>
        <v>2.4127480807384143</v>
      </c>
      <c r="DJ46" s="22">
        <f>BN46/CA46</f>
        <v>731.45710764774662</v>
      </c>
      <c r="DK46" s="22">
        <f>CG46/CT46</f>
        <v>75.563750790056474</v>
      </c>
      <c r="DL46" s="22">
        <f>CG46/CK46</f>
        <v>6.3132686280500563</v>
      </c>
      <c r="DM46" s="22">
        <f>BN46/BZ46</f>
        <v>87.518639379941192</v>
      </c>
      <c r="DN46" s="22">
        <f>BL46/BQ46</f>
        <v>0.10359385082712247</v>
      </c>
      <c r="DO46" s="22">
        <f>BR46/BZ46</f>
        <v>8.9362543350499575</v>
      </c>
      <c r="DP46" s="20">
        <f>AY46/BZ46</f>
        <v>618.30506111781324</v>
      </c>
      <c r="DQ46" s="22">
        <f>AY46/BQ46</f>
        <v>12.49504752269411</v>
      </c>
      <c r="DR46" s="22">
        <f>AY46/(((BR46/0.195)*(BT46/0.259))^0.5)</f>
        <v>19.418018465775742</v>
      </c>
      <c r="DS46" s="19">
        <f>(BS46/0.074)/(((BR46/0.195)*(BT46/0.259))^0.5)</f>
        <v>1.0263890406670035</v>
      </c>
      <c r="DT46" s="23">
        <f t="shared" si="128"/>
        <v>6.4277888863614708E-4</v>
      </c>
      <c r="DU46" s="22">
        <f t="shared" si="113"/>
        <v>11.208582183745934</v>
      </c>
      <c r="DV46" s="22">
        <f>BK46/BM46</f>
        <v>16.534379615259837</v>
      </c>
      <c r="DW46" s="22">
        <f t="shared" si="63"/>
        <v>0.31014833758078542</v>
      </c>
      <c r="DX46" s="22">
        <f t="shared" si="114"/>
        <v>34.334834918024455</v>
      </c>
      <c r="DY46" s="22">
        <f t="shared" si="46"/>
        <v>5.3133597122590563</v>
      </c>
      <c r="DZ46" s="19">
        <f t="shared" si="129"/>
        <v>0.67511045128166791</v>
      </c>
      <c r="EA46" s="23">
        <f>BA46/BN46</f>
        <v>0.19095858380820185</v>
      </c>
      <c r="EB46" s="19">
        <f>CC46/BK46</f>
        <v>0.15475128175058589</v>
      </c>
      <c r="EC46" s="19">
        <f>(CB46/0.144)/(CH46*CI46)^(1/2)</f>
        <v>0.14959103766550622</v>
      </c>
      <c r="ED46" s="19"/>
      <c r="EE46" s="19">
        <f t="shared" si="115"/>
        <v>44.301923721039174</v>
      </c>
      <c r="EF46" s="19">
        <f t="shared" si="116"/>
        <v>3.8651835922960434</v>
      </c>
      <c r="EG46" s="19">
        <f t="shared" si="117"/>
        <v>7.3522652405353526</v>
      </c>
      <c r="EH46" s="19">
        <f t="shared" si="118"/>
        <v>14.190899810480182</v>
      </c>
      <c r="EI46" s="19">
        <f t="shared" si="119"/>
        <v>0.21597485097770994</v>
      </c>
      <c r="EJ46" s="19">
        <f t="shared" si="120"/>
        <v>14.524020054150999</v>
      </c>
      <c r="EK46" s="19">
        <f t="shared" si="121"/>
        <v>10.502996648102775</v>
      </c>
      <c r="EL46" s="19">
        <f t="shared" si="122"/>
        <v>2.3029867923008878</v>
      </c>
      <c r="EM46" s="19">
        <f t="shared" si="123"/>
        <v>1.4820170462267654</v>
      </c>
      <c r="EN46" s="19">
        <f t="shared" si="124"/>
        <v>1.2617322438901069</v>
      </c>
      <c r="EO46" s="19">
        <f t="shared" si="125"/>
        <v>99.999999999999986</v>
      </c>
    </row>
    <row r="47" spans="1:145" s="18" customFormat="1" ht="14.5" customHeight="1">
      <c r="A47" s="1" t="s">
        <v>231</v>
      </c>
      <c r="B47" s="1">
        <v>3</v>
      </c>
      <c r="C47" s="12" t="s">
        <v>233</v>
      </c>
      <c r="D47" s="36" t="s">
        <v>251</v>
      </c>
      <c r="E47" s="12" t="s">
        <v>63</v>
      </c>
      <c r="F47" s="13" t="s">
        <v>229</v>
      </c>
      <c r="G47" s="40">
        <v>38.943662526076238</v>
      </c>
      <c r="H47" s="40">
        <v>3.6301264061449654</v>
      </c>
      <c r="I47" s="40">
        <v>5.0057031664</v>
      </c>
      <c r="J47" s="40">
        <v>12.572155770311541</v>
      </c>
      <c r="K47" s="40">
        <v>0.19300952532992766</v>
      </c>
      <c r="L47" s="40">
        <v>21.431990939999999</v>
      </c>
      <c r="M47" s="40">
        <v>10.257903559175</v>
      </c>
      <c r="N47" s="40">
        <v>1.4928571428571431</v>
      </c>
      <c r="O47" s="40">
        <v>1.4757912867499998</v>
      </c>
      <c r="P47" s="40">
        <v>0.47098445595854932</v>
      </c>
      <c r="Q47" s="40">
        <v>6.03</v>
      </c>
      <c r="R47" s="40"/>
      <c r="S47" s="15">
        <f t="shared" si="94"/>
        <v>95.474184779003352</v>
      </c>
      <c r="T47" s="16"/>
      <c r="U47" s="17"/>
      <c r="V47" s="17"/>
      <c r="AF47" s="19">
        <f t="shared" si="95"/>
        <v>0.79890794335984772</v>
      </c>
      <c r="AG47" s="20">
        <f t="shared" si="96"/>
        <v>21762.607804839066</v>
      </c>
      <c r="AH47" s="20">
        <f t="shared" si="97"/>
        <v>12252.019262598498</v>
      </c>
      <c r="AI47" s="20">
        <f t="shared" si="98"/>
        <v>2055.3761658031094</v>
      </c>
      <c r="AJ47" s="19">
        <f t="shared" si="99"/>
        <v>2.9686484296071427</v>
      </c>
      <c r="AK47" s="19">
        <f t="shared" si="100"/>
        <v>0.98856832605263134</v>
      </c>
      <c r="AL47" s="19">
        <f t="shared" si="101"/>
        <v>1.0115638683195682</v>
      </c>
      <c r="AM47" s="19">
        <f t="shared" si="102"/>
        <v>2.0492432767547175</v>
      </c>
      <c r="AN47" s="19">
        <f t="shared" si="103"/>
        <v>0.29482197359524193</v>
      </c>
      <c r="AO47" s="19">
        <f t="shared" si="104"/>
        <v>0.80971316462218512</v>
      </c>
      <c r="AP47" s="19">
        <f t="shared" si="105"/>
        <v>1.2350052385113479</v>
      </c>
      <c r="AQ47" s="19">
        <f t="shared" si="106"/>
        <v>0.22048396809183485</v>
      </c>
      <c r="AR47" s="19">
        <f t="shared" si="107"/>
        <v>0.80971316462218512</v>
      </c>
      <c r="AS47" s="20">
        <f t="shared" si="108"/>
        <v>1997.5553551876569</v>
      </c>
      <c r="AT47" s="20">
        <f t="shared" si="109"/>
        <v>2314.9822190079212</v>
      </c>
      <c r="AU47" s="19">
        <f t="shared" si="110"/>
        <v>3.7895544256060315E-2</v>
      </c>
      <c r="AV47" s="19">
        <f t="shared" si="111"/>
        <v>0.31910879435000922</v>
      </c>
      <c r="AX47" s="39">
        <v>146</v>
      </c>
      <c r="AY47" s="39">
        <v>1410</v>
      </c>
      <c r="AZ47" s="39">
        <v>5620</v>
      </c>
      <c r="BA47" s="18">
        <v>3.8</v>
      </c>
      <c r="BB47" s="39">
        <v>22.454732006023093</v>
      </c>
      <c r="BC47" s="39">
        <v>203</v>
      </c>
      <c r="BD47" s="39">
        <v>1140</v>
      </c>
      <c r="BE47" s="18">
        <v>76</v>
      </c>
      <c r="BF47" s="39">
        <v>682</v>
      </c>
      <c r="BG47" s="39">
        <v>90</v>
      </c>
      <c r="BH47" s="39">
        <v>104</v>
      </c>
      <c r="BI47" s="39">
        <v>22</v>
      </c>
      <c r="BJ47" s="39">
        <v>483</v>
      </c>
      <c r="BK47" s="39">
        <v>180</v>
      </c>
      <c r="BL47" s="38">
        <v>10.7</v>
      </c>
      <c r="BM47" s="38">
        <v>9.1999999999999993</v>
      </c>
      <c r="BN47" s="39">
        <v>168</v>
      </c>
      <c r="BO47" s="39">
        <v>332</v>
      </c>
      <c r="BP47" s="38">
        <v>29</v>
      </c>
      <c r="BQ47" s="39">
        <v>99</v>
      </c>
      <c r="BR47" s="38">
        <v>17</v>
      </c>
      <c r="BS47" s="38">
        <v>4.5999999999999996</v>
      </c>
      <c r="BT47" s="38">
        <v>11</v>
      </c>
      <c r="BU47" s="38">
        <v>1.23</v>
      </c>
      <c r="BV47" s="38">
        <v>6.1</v>
      </c>
      <c r="BW47" s="38">
        <v>0.77</v>
      </c>
      <c r="BX47" s="38">
        <v>1.97</v>
      </c>
      <c r="BY47" s="38">
        <v>0.24</v>
      </c>
      <c r="BZ47" s="18">
        <v>1.47</v>
      </c>
      <c r="CA47" s="18">
        <v>0.16</v>
      </c>
      <c r="CB47" s="18">
        <v>6.3</v>
      </c>
      <c r="CC47" s="18">
        <v>13.1</v>
      </c>
      <c r="CD47" s="18">
        <v>3</v>
      </c>
      <c r="CE47" s="18">
        <v>12</v>
      </c>
      <c r="CG47" s="22">
        <f t="shared" si="18"/>
        <v>694.21487603305786</v>
      </c>
      <c r="CH47" s="22">
        <f t="shared" si="64"/>
        <v>522.83464566929138</v>
      </c>
      <c r="CI47" s="22">
        <f>BP47/0.0963</f>
        <v>301.14226375908618</v>
      </c>
      <c r="CJ47" s="22">
        <f t="shared" si="81"/>
        <v>206.25</v>
      </c>
      <c r="CK47" s="22">
        <f t="shared" si="82"/>
        <v>108.97435897435898</v>
      </c>
      <c r="CL47" s="22">
        <v>1.0590999999999999</v>
      </c>
      <c r="CM47" s="22">
        <f t="shared" si="83"/>
        <v>51.886792452830193</v>
      </c>
      <c r="CN47" s="22">
        <f>BU47/0.0376</f>
        <v>32.712765957446805</v>
      </c>
      <c r="CO47" s="22">
        <f t="shared" si="85"/>
        <v>23.55212355212355</v>
      </c>
      <c r="CP47" s="22">
        <f t="shared" si="86"/>
        <v>13.162393162393162</v>
      </c>
      <c r="CQ47" s="22">
        <f t="shared" si="87"/>
        <v>12.085889570552146</v>
      </c>
      <c r="CR47" s="22">
        <f>BY47/0.0256</f>
        <v>9.375</v>
      </c>
      <c r="CS47" s="22">
        <f t="shared" si="26"/>
        <v>8.8554216867469879</v>
      </c>
      <c r="CT47" s="22">
        <f t="shared" si="71"/>
        <v>6.3999999999999995</v>
      </c>
      <c r="CU47" s="22">
        <f t="shared" si="59"/>
        <v>31.222222222222221</v>
      </c>
      <c r="CV47" s="22"/>
      <c r="CW47" s="22"/>
      <c r="CX47" s="20">
        <f t="shared" si="126"/>
        <v>120.90337669355037</v>
      </c>
      <c r="CY47" s="22"/>
      <c r="CZ47" s="22"/>
      <c r="DA47" s="22"/>
      <c r="DB47" s="22">
        <f t="shared" si="127"/>
        <v>2.6833333333333331</v>
      </c>
      <c r="DC47" s="22">
        <f>AZ47/CC47</f>
        <v>429.00763358778624</v>
      </c>
      <c r="DD47" s="22"/>
      <c r="DE47" s="22"/>
      <c r="DF47" s="22"/>
      <c r="DG47" s="19">
        <f t="shared" si="112"/>
        <v>8.1818181818181817</v>
      </c>
      <c r="DH47" s="20"/>
      <c r="DI47" s="19"/>
      <c r="DJ47" s="22"/>
      <c r="DK47" s="22"/>
      <c r="DL47" s="22"/>
      <c r="DM47" s="22"/>
      <c r="DN47" s="22">
        <f>BL47/BQ47</f>
        <v>0.10808080808080807</v>
      </c>
      <c r="DO47" s="22">
        <f>BR47/BZ47</f>
        <v>11.564625850340136</v>
      </c>
      <c r="DP47" s="20"/>
      <c r="DQ47" s="22"/>
      <c r="DR47" s="22"/>
      <c r="DS47" s="19"/>
      <c r="DT47" s="23">
        <f t="shared" si="128"/>
        <v>7.0921985815602842E-4</v>
      </c>
      <c r="DU47" s="22">
        <f t="shared" si="113"/>
        <v>21.954545454545453</v>
      </c>
      <c r="DV47" s="22"/>
      <c r="DW47" s="22"/>
      <c r="DX47" s="22">
        <f t="shared" si="114"/>
        <v>37.267080745341616</v>
      </c>
      <c r="DY47" s="22"/>
      <c r="DZ47" s="19">
        <f t="shared" si="129"/>
        <v>0.76199748906536369</v>
      </c>
      <c r="EA47" s="23">
        <f>BA47/BN47</f>
        <v>2.2619047619047618E-2</v>
      </c>
      <c r="EB47" s="19">
        <f>CC47/BK47</f>
        <v>7.2777777777777775E-2</v>
      </c>
      <c r="EC47" s="19"/>
      <c r="ED47" s="19"/>
      <c r="EE47" s="19">
        <f t="shared" si="115"/>
        <v>40.789730350900797</v>
      </c>
      <c r="EF47" s="19">
        <f t="shared" si="116"/>
        <v>3.8022072820498192</v>
      </c>
      <c r="EG47" s="19">
        <f t="shared" si="117"/>
        <v>5.2429912630171547</v>
      </c>
      <c r="EH47" s="19">
        <f t="shared" si="118"/>
        <v>13.168120575643194</v>
      </c>
      <c r="EI47" s="19">
        <f t="shared" si="119"/>
        <v>0.20215886187108273</v>
      </c>
      <c r="EJ47" s="19">
        <f t="shared" si="120"/>
        <v>22.447943378211821</v>
      </c>
      <c r="EK47" s="19">
        <f t="shared" si="121"/>
        <v>10.744164595821628</v>
      </c>
      <c r="EL47" s="19">
        <f t="shared" si="122"/>
        <v>1.5636238699630685</v>
      </c>
      <c r="EM47" s="19">
        <f t="shared" si="123"/>
        <v>1.545749031705328</v>
      </c>
      <c r="EN47" s="19">
        <f t="shared" si="124"/>
        <v>0.49331079081612444</v>
      </c>
      <c r="EO47" s="19">
        <f t="shared" si="125"/>
        <v>100.00000000000001</v>
      </c>
    </row>
    <row r="48" spans="1:145" s="18" customFormat="1" ht="14.5" customHeight="1">
      <c r="A48" s="1" t="s">
        <v>231</v>
      </c>
      <c r="B48" s="1">
        <v>3</v>
      </c>
      <c r="C48" s="12" t="s">
        <v>250</v>
      </c>
      <c r="D48" s="1" t="s">
        <v>246</v>
      </c>
      <c r="E48" s="12" t="s">
        <v>63</v>
      </c>
      <c r="F48" s="13" t="s">
        <v>229</v>
      </c>
      <c r="G48" s="15">
        <v>40.700000000000003</v>
      </c>
      <c r="H48" s="15">
        <v>3.956</v>
      </c>
      <c r="I48" s="15">
        <v>6.77</v>
      </c>
      <c r="J48" s="15">
        <v>12.17</v>
      </c>
      <c r="K48" s="15">
        <v>0.17499999999999999</v>
      </c>
      <c r="L48" s="15">
        <v>12.96</v>
      </c>
      <c r="M48" s="15">
        <v>10.61</v>
      </c>
      <c r="N48" s="15">
        <v>2.52</v>
      </c>
      <c r="O48" s="15">
        <v>2.64</v>
      </c>
      <c r="P48" s="15">
        <v>1.1299999999999999</v>
      </c>
      <c r="Q48" s="15">
        <v>3.82</v>
      </c>
      <c r="R48" s="15"/>
      <c r="S48" s="15">
        <f t="shared" si="94"/>
        <v>93.630999999999986</v>
      </c>
      <c r="T48" s="16"/>
      <c r="U48" s="37"/>
      <c r="V48" s="37"/>
      <c r="AF48" s="19">
        <f t="shared" si="95"/>
        <v>0.71279067967650178</v>
      </c>
      <c r="AG48" s="20">
        <f t="shared" si="96"/>
        <v>23716.22</v>
      </c>
      <c r="AH48" s="20">
        <f t="shared" si="97"/>
        <v>21917.280000000002</v>
      </c>
      <c r="AI48" s="20">
        <f t="shared" si="98"/>
        <v>4931.32</v>
      </c>
      <c r="AJ48" s="19">
        <f t="shared" si="99"/>
        <v>5.16</v>
      </c>
      <c r="AK48" s="19">
        <f t="shared" si="100"/>
        <v>1.0476190476190477</v>
      </c>
      <c r="AL48" s="19">
        <f t="shared" si="101"/>
        <v>0.95454545454545447</v>
      </c>
      <c r="AM48" s="19">
        <f t="shared" si="102"/>
        <v>1.567208271787297</v>
      </c>
      <c r="AN48" s="19">
        <f t="shared" si="103"/>
        <v>0.38995568685376664</v>
      </c>
      <c r="AO48" s="19">
        <f t="shared" si="104"/>
        <v>1.0344158960131864</v>
      </c>
      <c r="AP48" s="19">
        <f t="shared" si="105"/>
        <v>0.96672915009733407</v>
      </c>
      <c r="AQ48" s="19">
        <f t="shared" si="106"/>
        <v>0.25748085789019887</v>
      </c>
      <c r="AR48" s="19">
        <f t="shared" si="107"/>
        <v>1.0344158960131864</v>
      </c>
      <c r="AS48" s="20">
        <f t="shared" si="108"/>
        <v>1818.5406373088467</v>
      </c>
      <c r="AT48" s="20">
        <f t="shared" si="109"/>
        <v>1970.2222743500556</v>
      </c>
      <c r="AU48" s="19">
        <f t="shared" si="110"/>
        <v>6.4864864864864868E-2</v>
      </c>
      <c r="AV48" s="19">
        <f t="shared" si="111"/>
        <v>0.42207942496401324</v>
      </c>
      <c r="AX48" s="16">
        <v>94.739947350098575</v>
      </c>
      <c r="AY48" s="16">
        <v>1815.3890451857608</v>
      </c>
      <c r="AZ48" s="16">
        <v>2151.1736277843925</v>
      </c>
      <c r="BA48" s="21">
        <v>1.2</v>
      </c>
      <c r="BB48" s="16">
        <v>18.333360484263277</v>
      </c>
      <c r="BC48" s="16">
        <v>270.51825999903713</v>
      </c>
      <c r="BD48" s="16">
        <v>493.72105571560735</v>
      </c>
      <c r="BF48" s="16">
        <v>399.04303215222433</v>
      </c>
      <c r="BG48" s="16">
        <v>82.803888811867836</v>
      </c>
      <c r="BH48" s="16">
        <v>117.91579949016996</v>
      </c>
      <c r="BI48" s="16">
        <v>33.975075287289755</v>
      </c>
      <c r="BJ48" s="16">
        <v>515.60444616958011</v>
      </c>
      <c r="BK48" s="16">
        <v>119.27091628825012</v>
      </c>
      <c r="BL48" s="21">
        <v>4.9000000000000004</v>
      </c>
      <c r="BM48" s="21">
        <v>8.3000000000000007</v>
      </c>
      <c r="BN48" s="41">
        <v>145</v>
      </c>
      <c r="BO48" s="41">
        <v>298</v>
      </c>
      <c r="BP48" s="21">
        <v>36.200000000000003</v>
      </c>
      <c r="BQ48" s="41">
        <v>111</v>
      </c>
      <c r="BR48" s="21">
        <v>19.100000000000001</v>
      </c>
      <c r="BS48" s="21">
        <v>5.13</v>
      </c>
      <c r="BT48" s="21">
        <v>12.3</v>
      </c>
      <c r="BU48" s="21">
        <v>1.5</v>
      </c>
      <c r="BV48" s="21">
        <v>6.7</v>
      </c>
      <c r="BW48" s="21">
        <v>1.1000000000000001</v>
      </c>
      <c r="BX48" s="21">
        <v>2.8</v>
      </c>
      <c r="BY48" s="21">
        <v>0.33</v>
      </c>
      <c r="BZ48" s="21">
        <v>1.9</v>
      </c>
      <c r="CA48" s="21">
        <v>0.24</v>
      </c>
      <c r="CB48" s="21">
        <v>5</v>
      </c>
      <c r="CC48" s="21">
        <v>9.9</v>
      </c>
      <c r="CD48" s="21">
        <v>3.5</v>
      </c>
      <c r="CE48" s="21">
        <v>15</v>
      </c>
      <c r="CG48" s="22">
        <f t="shared" si="18"/>
        <v>599.17355371900828</v>
      </c>
      <c r="CH48" s="22">
        <f t="shared" si="64"/>
        <v>469.29133858267716</v>
      </c>
      <c r="CI48" s="22">
        <f>BP48/0.0963</f>
        <v>375.90861889927316</v>
      </c>
      <c r="CJ48" s="22">
        <f t="shared" si="81"/>
        <v>231.25</v>
      </c>
      <c r="CK48" s="22">
        <f t="shared" si="82"/>
        <v>122.43589743589745</v>
      </c>
      <c r="CL48" s="22">
        <v>2.0590999999999999</v>
      </c>
      <c r="CM48" s="22">
        <f t="shared" si="83"/>
        <v>58.018867924528308</v>
      </c>
      <c r="CN48" s="22">
        <f>BU48/0.0376</f>
        <v>39.893617021276597</v>
      </c>
      <c r="CO48" s="22">
        <f t="shared" si="85"/>
        <v>25.868725868725868</v>
      </c>
      <c r="CP48" s="22">
        <f t="shared" si="86"/>
        <v>18.803418803418804</v>
      </c>
      <c r="CQ48" s="22">
        <f t="shared" si="87"/>
        <v>17.177914110429445</v>
      </c>
      <c r="CR48" s="22">
        <f>BY48/0.0256</f>
        <v>12.890625</v>
      </c>
      <c r="CS48" s="22">
        <f t="shared" si="26"/>
        <v>11.445783132530119</v>
      </c>
      <c r="CT48" s="22">
        <f t="shared" si="71"/>
        <v>9.6</v>
      </c>
      <c r="CU48" s="22">
        <f t="shared" si="59"/>
        <v>18.036028352339518</v>
      </c>
      <c r="CV48" s="22">
        <f>AZ48/BN48</f>
        <v>14.8356801916165</v>
      </c>
      <c r="CW48" s="22">
        <f>BN48/BK48</f>
        <v>1.2157196784635129</v>
      </c>
      <c r="CX48" s="20">
        <f t="shared" si="126"/>
        <v>198.84327829496507</v>
      </c>
      <c r="CY48" s="22">
        <f>BO48/CB48</f>
        <v>59.6</v>
      </c>
      <c r="CZ48" s="22">
        <f>BK48/CD48</f>
        <v>34.077404653785749</v>
      </c>
      <c r="DA48" s="22">
        <f>AX48/BR48</f>
        <v>4.9602066675444281</v>
      </c>
      <c r="DB48" s="22">
        <f t="shared" si="127"/>
        <v>4.3229687690457901</v>
      </c>
      <c r="DC48" s="22">
        <f>AZ48/CC48</f>
        <v>217.29026543276692</v>
      </c>
      <c r="DD48" s="22">
        <f>CC48/BM48</f>
        <v>1.1927710843373494</v>
      </c>
      <c r="DE48" s="22">
        <f>BM48/BZ48</f>
        <v>4.3684210526315796</v>
      </c>
      <c r="DF48" s="22">
        <f>CC48/BZ48</f>
        <v>5.2105263157894743</v>
      </c>
      <c r="DG48" s="19">
        <f t="shared" si="112"/>
        <v>3.5105416332328176</v>
      </c>
      <c r="DH48" s="20">
        <f>AH48/BN48</f>
        <v>151.15365517241381</v>
      </c>
      <c r="DI48" s="19">
        <f>(BK48/0.46)/((O48/0.023)*(CD48/0.017))^0.5</f>
        <v>1.6866661034600787</v>
      </c>
      <c r="DJ48" s="22">
        <f>BN48/CA48</f>
        <v>604.16666666666674</v>
      </c>
      <c r="DK48" s="22">
        <f>CG48/CT48</f>
        <v>62.413911845730034</v>
      </c>
      <c r="DL48" s="22">
        <f>CG48/CK48</f>
        <v>4.8937735277573449</v>
      </c>
      <c r="DM48" s="22">
        <f>BN48/BZ48</f>
        <v>76.31578947368422</v>
      </c>
      <c r="DN48" s="22">
        <f>BL48/BQ48</f>
        <v>4.4144144144144144E-2</v>
      </c>
      <c r="DO48" s="22">
        <f>BR48/BZ48</f>
        <v>10.05263157894737</v>
      </c>
      <c r="DP48" s="20">
        <f>AY48/BZ48</f>
        <v>955.46791851882153</v>
      </c>
      <c r="DQ48" s="22">
        <f>AY48/BQ48</f>
        <v>16.354856262934781</v>
      </c>
      <c r="DR48" s="22">
        <f>AY48/(((BR48/0.195)*(BT48/0.259))^0.5)</f>
        <v>26.617524273075986</v>
      </c>
      <c r="DS48" s="19">
        <f>(BS48/0.074)/(((BR48/0.195)*(BT48/0.259))^0.5)</f>
        <v>1.0164443210179661</v>
      </c>
      <c r="DT48" s="23">
        <f t="shared" si="128"/>
        <v>5.5084611348289497E-4</v>
      </c>
      <c r="DU48" s="22">
        <f t="shared" si="113"/>
        <v>15.175961842900472</v>
      </c>
      <c r="DV48" s="22">
        <f>BK48/BM48</f>
        <v>14.369989914247002</v>
      </c>
      <c r="DW48" s="22"/>
      <c r="DX48" s="22">
        <f t="shared" si="114"/>
        <v>23.132251316743382</v>
      </c>
      <c r="DY48" s="22">
        <f>CC48*100/BJ48</f>
        <v>1.9200765380413209</v>
      </c>
      <c r="DZ48" s="19">
        <f t="shared" si="129"/>
        <v>0.62420323013249002</v>
      </c>
      <c r="EA48" s="23">
        <f>BA48/BN48</f>
        <v>8.2758620689655175E-3</v>
      </c>
      <c r="EB48" s="19">
        <f>CC48/BK48</f>
        <v>8.3004309081301922E-2</v>
      </c>
      <c r="EC48" s="19">
        <f>(CB48/0.144)/(CH48*CI48)^(1/2)</f>
        <v>8.2669460063778219E-2</v>
      </c>
      <c r="ED48" s="19"/>
      <c r="EE48" s="19">
        <f t="shared" si="115"/>
        <v>43.468509361215851</v>
      </c>
      <c r="EF48" s="19">
        <f t="shared" si="116"/>
        <v>4.2250963890164588</v>
      </c>
      <c r="EG48" s="19">
        <f t="shared" si="117"/>
        <v>7.2305112622956083</v>
      </c>
      <c r="EH48" s="19">
        <f t="shared" si="118"/>
        <v>12.997831914643657</v>
      </c>
      <c r="EI48" s="19">
        <f t="shared" si="119"/>
        <v>0.18690391002979787</v>
      </c>
      <c r="EJ48" s="19">
        <f t="shared" si="120"/>
        <v>13.841569565635314</v>
      </c>
      <c r="EK48" s="19">
        <f t="shared" si="121"/>
        <v>11.331717059520887</v>
      </c>
      <c r="EL48" s="19">
        <f t="shared" si="122"/>
        <v>2.6914163044290889</v>
      </c>
      <c r="EM48" s="19">
        <f t="shared" si="123"/>
        <v>2.8195789855923792</v>
      </c>
      <c r="EN48" s="19">
        <f t="shared" si="124"/>
        <v>1.2068652476209802</v>
      </c>
      <c r="EO48" s="19">
        <f t="shared" si="125"/>
        <v>100</v>
      </c>
    </row>
    <row r="49" spans="1:145" s="18" customFormat="1" ht="14.5" customHeight="1">
      <c r="A49" s="1" t="s">
        <v>231</v>
      </c>
      <c r="B49" s="1">
        <v>3</v>
      </c>
      <c r="C49" s="11" t="s">
        <v>249</v>
      </c>
      <c r="D49" s="1" t="s">
        <v>246</v>
      </c>
      <c r="E49" s="12" t="s">
        <v>63</v>
      </c>
      <c r="F49" s="13" t="s">
        <v>229</v>
      </c>
      <c r="G49" s="15">
        <v>40.101437388175214</v>
      </c>
      <c r="H49" s="15">
        <v>4.8987225078390182</v>
      </c>
      <c r="I49" s="15">
        <v>6.9091221917082999</v>
      </c>
      <c r="J49" s="15">
        <v>11.204072461675892</v>
      </c>
      <c r="K49" s="15">
        <v>0.19796498215109645</v>
      </c>
      <c r="L49" s="15">
        <v>10.742618353581991</v>
      </c>
      <c r="M49" s="15">
        <v>12.59236904545393</v>
      </c>
      <c r="N49" s="15">
        <v>1.2565226011102297</v>
      </c>
      <c r="O49" s="15">
        <v>1.9454828248365954</v>
      </c>
      <c r="P49" s="15">
        <v>0.69470406000326113</v>
      </c>
      <c r="Q49" s="15">
        <v>5.192836160333572</v>
      </c>
      <c r="R49" s="15"/>
      <c r="S49" s="15">
        <f t="shared" si="94"/>
        <v>90.543016416535536</v>
      </c>
      <c r="T49" s="16"/>
      <c r="U49" s="37"/>
      <c r="V49" s="37"/>
      <c r="AF49" s="19">
        <f t="shared" si="95"/>
        <v>0.69083464985723764</v>
      </c>
      <c r="AG49" s="20">
        <f t="shared" si="96"/>
        <v>29367.841434494912</v>
      </c>
      <c r="AH49" s="20">
        <f t="shared" si="97"/>
        <v>16151.398411793414</v>
      </c>
      <c r="AI49" s="20">
        <f t="shared" si="98"/>
        <v>3031.6885178542316</v>
      </c>
      <c r="AJ49" s="19">
        <f t="shared" si="99"/>
        <v>3.2020054259468251</v>
      </c>
      <c r="AK49" s="19">
        <f t="shared" si="100"/>
        <v>1.5483070683468956</v>
      </c>
      <c r="AL49" s="19">
        <f t="shared" si="101"/>
        <v>0.64586671497126547</v>
      </c>
      <c r="AM49" s="19">
        <f t="shared" si="102"/>
        <v>1.8225714781200635</v>
      </c>
      <c r="AN49" s="19">
        <f t="shared" si="103"/>
        <v>0.2815817655058101</v>
      </c>
      <c r="AO49" s="19">
        <f t="shared" si="104"/>
        <v>0.60395315162484031</v>
      </c>
      <c r="AP49" s="19">
        <f t="shared" si="105"/>
        <v>1.6557575654827834</v>
      </c>
      <c r="AQ49" s="19">
        <f t="shared" si="106"/>
        <v>0.25525823700995781</v>
      </c>
      <c r="AR49" s="19">
        <f t="shared" si="107"/>
        <v>0.60395315162484031</v>
      </c>
      <c r="AS49" s="20">
        <f t="shared" si="108"/>
        <v>2161.0681238929769</v>
      </c>
      <c r="AT49" s="20">
        <f t="shared" si="109"/>
        <v>2151.6327942592802</v>
      </c>
      <c r="AU49" s="19">
        <f t="shared" si="110"/>
        <v>4.8514042177706669E-2</v>
      </c>
      <c r="AV49" s="19">
        <f t="shared" si="111"/>
        <v>0.30477788546679824</v>
      </c>
      <c r="AX49" s="16">
        <v>151.03449418368979</v>
      </c>
      <c r="AY49" s="16">
        <v>1517.3979845578438</v>
      </c>
      <c r="AZ49" s="16">
        <v>33426.9231852831</v>
      </c>
      <c r="BB49" s="16">
        <v>21.859946944604605</v>
      </c>
      <c r="BC49" s="16">
        <v>306.35583128206332</v>
      </c>
      <c r="BD49" s="16">
        <v>258.42913351945288</v>
      </c>
      <c r="BF49" s="16">
        <v>138.52488104943103</v>
      </c>
      <c r="BG49" s="16">
        <v>95.254999602263752</v>
      </c>
      <c r="BH49" s="16">
        <v>83.584382080773878</v>
      </c>
      <c r="BI49" s="16">
        <v>22.11663978432118</v>
      </c>
      <c r="BJ49" s="16">
        <v>530.81220240740004</v>
      </c>
      <c r="BK49" s="16">
        <v>170.79845819460115</v>
      </c>
      <c r="CG49" s="22"/>
      <c r="CH49" s="22"/>
      <c r="CI49" s="22"/>
      <c r="CJ49" s="22"/>
      <c r="CK49" s="22"/>
      <c r="CL49" s="22">
        <v>3.0590999999999999</v>
      </c>
      <c r="CM49" s="22"/>
      <c r="CN49" s="22"/>
      <c r="CO49" s="22"/>
      <c r="CP49" s="22"/>
      <c r="CQ49" s="22"/>
      <c r="CR49" s="22"/>
      <c r="CS49" s="22"/>
      <c r="CT49" s="22"/>
      <c r="CU49" s="22">
        <f t="shared" si="59"/>
        <v>195.70974784326071</v>
      </c>
      <c r="CV49" s="22"/>
      <c r="CW49" s="22"/>
      <c r="CX49" s="20">
        <f t="shared" si="126"/>
        <v>171.94441767755498</v>
      </c>
      <c r="CY49" s="22"/>
      <c r="CZ49" s="22"/>
      <c r="DA49" s="22"/>
      <c r="DB49" s="22">
        <f t="shared" si="127"/>
        <v>3.1078278341518351</v>
      </c>
      <c r="DC49" s="22"/>
      <c r="DD49" s="22"/>
      <c r="DE49" s="22"/>
      <c r="DF49" s="22"/>
      <c r="DG49" s="19">
        <f t="shared" si="112"/>
        <v>7.7226224173385853</v>
      </c>
      <c r="DH49" s="20"/>
      <c r="DI49" s="19"/>
      <c r="DJ49" s="22"/>
      <c r="DK49" s="22"/>
      <c r="DL49" s="22"/>
      <c r="DM49" s="22"/>
      <c r="DN49" s="22"/>
      <c r="DO49" s="22"/>
      <c r="DP49" s="20"/>
      <c r="DQ49" s="22"/>
      <c r="DR49" s="22"/>
      <c r="DS49" s="19"/>
      <c r="DT49" s="23">
        <f t="shared" si="128"/>
        <v>6.5902288666304712E-4</v>
      </c>
      <c r="DU49" s="22">
        <f t="shared" si="113"/>
        <v>24.000580901249783</v>
      </c>
      <c r="DV49" s="22"/>
      <c r="DW49" s="22"/>
      <c r="DX49" s="22">
        <f t="shared" si="114"/>
        <v>32.176814590918688</v>
      </c>
      <c r="DY49" s="22"/>
      <c r="DZ49" s="19">
        <f t="shared" si="129"/>
        <v>0.91654328811889396</v>
      </c>
      <c r="EA49" s="23"/>
      <c r="EB49" s="19"/>
      <c r="EC49" s="19"/>
      <c r="ED49" s="19"/>
      <c r="EE49" s="19">
        <f t="shared" si="115"/>
        <v>44.289928671794989</v>
      </c>
      <c r="EF49" s="19">
        <f t="shared" si="116"/>
        <v>5.4103813874532927</v>
      </c>
      <c r="EG49" s="19">
        <f t="shared" si="117"/>
        <v>7.6307621119264066</v>
      </c>
      <c r="EH49" s="19">
        <f t="shared" si="118"/>
        <v>12.374308814864857</v>
      </c>
      <c r="EI49" s="19">
        <f t="shared" si="119"/>
        <v>0.21864191186250651</v>
      </c>
      <c r="EJ49" s="19">
        <f t="shared" si="120"/>
        <v>11.864657020218409</v>
      </c>
      <c r="EK49" s="19">
        <f t="shared" si="121"/>
        <v>13.907609381516288</v>
      </c>
      <c r="EL49" s="19">
        <f t="shared" si="122"/>
        <v>1.3877631327519542</v>
      </c>
      <c r="EM49" s="19">
        <f t="shared" si="123"/>
        <v>2.1486834676310815</v>
      </c>
      <c r="EN49" s="19">
        <f t="shared" si="124"/>
        <v>0.76726409998020551</v>
      </c>
      <c r="EO49" s="19">
        <f t="shared" si="125"/>
        <v>100.00000000000001</v>
      </c>
    </row>
    <row r="50" spans="1:145" s="18" customFormat="1" ht="14.5" customHeight="1">
      <c r="A50" s="1" t="s">
        <v>231</v>
      </c>
      <c r="B50" s="1">
        <v>3</v>
      </c>
      <c r="C50" s="18" t="s">
        <v>248</v>
      </c>
      <c r="D50" s="1" t="s">
        <v>246</v>
      </c>
      <c r="E50" s="12" t="s">
        <v>63</v>
      </c>
      <c r="F50" s="13" t="s">
        <v>229</v>
      </c>
      <c r="G50" s="15">
        <v>41.102863170870485</v>
      </c>
      <c r="H50" s="15">
        <v>3.6977345611981551</v>
      </c>
      <c r="I50" s="15">
        <v>6.4368958796999998</v>
      </c>
      <c r="J50" s="15">
        <v>12.565943861278795</v>
      </c>
      <c r="K50" s="15">
        <v>0.2063620157513836</v>
      </c>
      <c r="L50" s="15">
        <v>15.064903043999999</v>
      </c>
      <c r="M50" s="15">
        <v>10.5749216120375</v>
      </c>
      <c r="N50" s="15">
        <v>2.9285714285714288</v>
      </c>
      <c r="O50" s="15">
        <v>1.2015003522499998</v>
      </c>
      <c r="P50" s="15">
        <v>1.1838341968911918</v>
      </c>
      <c r="Q50" s="15">
        <v>4.1500000000000004</v>
      </c>
      <c r="R50" s="15"/>
      <c r="S50" s="15">
        <f t="shared" si="94"/>
        <v>94.963530122548946</v>
      </c>
      <c r="T50" s="16"/>
      <c r="U50" s="37"/>
      <c r="V50" s="37"/>
      <c r="AF50" s="19">
        <f t="shared" si="95"/>
        <v>0.73642320210794776</v>
      </c>
      <c r="AG50" s="20">
        <f t="shared" si="96"/>
        <v>22167.918694382941</v>
      </c>
      <c r="AH50" s="20">
        <f t="shared" si="97"/>
        <v>9974.8559243794989</v>
      </c>
      <c r="AI50" s="20">
        <f t="shared" si="98"/>
        <v>5166.2524352331611</v>
      </c>
      <c r="AJ50" s="19">
        <f t="shared" si="99"/>
        <v>4.1300717808214289</v>
      </c>
      <c r="AK50" s="19">
        <f t="shared" si="100"/>
        <v>0.41026841296341454</v>
      </c>
      <c r="AL50" s="19">
        <f t="shared" si="101"/>
        <v>2.4374286891279011</v>
      </c>
      <c r="AM50" s="19">
        <f t="shared" si="102"/>
        <v>1.6428604423115754</v>
      </c>
      <c r="AN50" s="19">
        <f t="shared" si="103"/>
        <v>0.18665834817045346</v>
      </c>
      <c r="AO50" s="19">
        <f t="shared" si="104"/>
        <v>0.95047591128429754</v>
      </c>
      <c r="AP50" s="19">
        <f t="shared" si="105"/>
        <v>1.0521045174609263</v>
      </c>
      <c r="AQ50" s="19">
        <f t="shared" si="106"/>
        <v>0.25397545427801277</v>
      </c>
      <c r="AR50" s="19">
        <f t="shared" si="107"/>
        <v>0.95047591128429754</v>
      </c>
      <c r="AS50" s="20">
        <f t="shared" si="108"/>
        <v>1923.3842704968458</v>
      </c>
      <c r="AT50" s="20">
        <f t="shared" si="109"/>
        <v>2045.1856198281732</v>
      </c>
      <c r="AU50" s="19">
        <f t="shared" si="110"/>
        <v>2.9231548840166946E-2</v>
      </c>
      <c r="AV50" s="19">
        <f t="shared" si="111"/>
        <v>0.20203487451655447</v>
      </c>
      <c r="AX50" s="16">
        <v>125.28806932156989</v>
      </c>
      <c r="AY50" s="16">
        <v>1638.0609526051867</v>
      </c>
      <c r="AZ50" s="16">
        <v>3597.9980215671985</v>
      </c>
      <c r="BB50" s="16">
        <v>21.246315781310514</v>
      </c>
      <c r="BC50" s="16">
        <v>275.28477970135009</v>
      </c>
      <c r="BD50" s="16">
        <v>1042.3955107068759</v>
      </c>
      <c r="BF50" s="16">
        <v>609.65904245261356</v>
      </c>
      <c r="BG50" s="16">
        <v>77.923717149006478</v>
      </c>
      <c r="BH50" s="16">
        <v>109.45905440296987</v>
      </c>
      <c r="BI50" s="16">
        <v>37.356826662212185</v>
      </c>
      <c r="BJ50" s="16">
        <v>369.86176366327936</v>
      </c>
      <c r="BK50" s="16">
        <v>140.02260499335873</v>
      </c>
      <c r="CG50" s="22"/>
      <c r="CH50" s="22"/>
      <c r="CI50" s="22"/>
      <c r="CJ50" s="22"/>
      <c r="CK50" s="22"/>
      <c r="CL50" s="22">
        <v>4.0590999999999999</v>
      </c>
      <c r="CM50" s="22"/>
      <c r="CN50" s="22"/>
      <c r="CO50" s="22"/>
      <c r="CP50" s="22"/>
      <c r="CQ50" s="22"/>
      <c r="CR50" s="22"/>
      <c r="CS50" s="22"/>
      <c r="CT50" s="22"/>
      <c r="CU50" s="22">
        <f t="shared" si="59"/>
        <v>25.695836909603642</v>
      </c>
      <c r="CV50" s="22"/>
      <c r="CW50" s="22"/>
      <c r="CX50" s="20">
        <f t="shared" si="126"/>
        <v>158.31671390083312</v>
      </c>
      <c r="CY50" s="22"/>
      <c r="CZ50" s="22"/>
      <c r="DA50" s="22"/>
      <c r="DB50" s="22">
        <f t="shared" si="127"/>
        <v>2.6414432418310021</v>
      </c>
      <c r="DC50" s="22"/>
      <c r="DD50" s="22"/>
      <c r="DE50" s="22"/>
      <c r="DF50" s="22"/>
      <c r="DG50" s="19">
        <f t="shared" si="112"/>
        <v>3.7482467731927773</v>
      </c>
      <c r="DH50" s="20"/>
      <c r="DI50" s="19"/>
      <c r="DJ50" s="22"/>
      <c r="DK50" s="22"/>
      <c r="DL50" s="22"/>
      <c r="DM50" s="22"/>
      <c r="DN50" s="22"/>
      <c r="DO50" s="22"/>
      <c r="DP50" s="20"/>
      <c r="DQ50" s="22"/>
      <c r="DR50" s="22"/>
      <c r="DS50" s="19"/>
      <c r="DT50" s="23">
        <f t="shared" si="128"/>
        <v>6.1047789363978858E-4</v>
      </c>
      <c r="DU50" s="22">
        <f t="shared" si="113"/>
        <v>9.9007811077649226</v>
      </c>
      <c r="DV50" s="22"/>
      <c r="DW50" s="22">
        <f t="shared" ref="DW50:DW83" si="130">1.74+LOG(BK50/BI50)-1.92*LOG(BJ50/BI50)</f>
        <v>0.40214281454151002</v>
      </c>
      <c r="DX50" s="22">
        <f t="shared" si="114"/>
        <v>37.858091522224704</v>
      </c>
      <c r="DY50" s="22"/>
      <c r="DZ50" s="19">
        <f t="shared" si="129"/>
        <v>0.67981422581821449</v>
      </c>
      <c r="EA50" s="23"/>
      <c r="EB50" s="19"/>
      <c r="EC50" s="19"/>
      <c r="ED50" s="19"/>
      <c r="EE50" s="19">
        <f t="shared" si="115"/>
        <v>43.282787737384957</v>
      </c>
      <c r="EF50" s="19">
        <f t="shared" si="116"/>
        <v>3.8938469920255563</v>
      </c>
      <c r="EG50" s="19">
        <f t="shared" si="117"/>
        <v>6.7782820114135252</v>
      </c>
      <c r="EH50" s="19">
        <f t="shared" si="118"/>
        <v>13.232389155144761</v>
      </c>
      <c r="EI50" s="19">
        <f t="shared" si="119"/>
        <v>0.21730659705370753</v>
      </c>
      <c r="EJ50" s="19">
        <f t="shared" si="120"/>
        <v>15.863882718512022</v>
      </c>
      <c r="EK50" s="19">
        <f t="shared" si="121"/>
        <v>11.135771383383419</v>
      </c>
      <c r="EL50" s="19">
        <f t="shared" si="122"/>
        <v>3.0838906523295346</v>
      </c>
      <c r="EM50" s="19">
        <f t="shared" si="123"/>
        <v>1.2652229236839474</v>
      </c>
      <c r="EN50" s="19">
        <f t="shared" si="124"/>
        <v>1.2466198290685617</v>
      </c>
      <c r="EO50" s="19">
        <f t="shared" si="125"/>
        <v>99.999999999999986</v>
      </c>
    </row>
    <row r="51" spans="1:145" s="30" customFormat="1" ht="14.5" customHeight="1">
      <c r="A51" s="24" t="s">
        <v>231</v>
      </c>
      <c r="B51" s="24">
        <v>3</v>
      </c>
      <c r="C51" s="42" t="s">
        <v>247</v>
      </c>
      <c r="D51" s="24" t="s">
        <v>246</v>
      </c>
      <c r="E51" s="42" t="s">
        <v>63</v>
      </c>
      <c r="F51" s="43" t="s">
        <v>229</v>
      </c>
      <c r="G51" s="27">
        <v>35.900925469372275</v>
      </c>
      <c r="H51" s="27">
        <v>5.1107539710520999</v>
      </c>
      <c r="I51" s="27">
        <v>6.5279142000999997</v>
      </c>
      <c r="J51" s="27">
        <v>11.361706019589223</v>
      </c>
      <c r="K51" s="27">
        <v>0.26074446573009791</v>
      </c>
      <c r="L51" s="27">
        <v>10.388510803999999</v>
      </c>
      <c r="M51" s="27">
        <v>11.011346001425</v>
      </c>
      <c r="N51" s="27">
        <v>1.35</v>
      </c>
      <c r="O51" s="27">
        <v>2.7197302528999998</v>
      </c>
      <c r="P51" s="27">
        <v>0.97450777202072547</v>
      </c>
      <c r="Q51" s="27">
        <v>6</v>
      </c>
      <c r="R51" s="27"/>
      <c r="S51" s="27">
        <f t="shared" si="94"/>
        <v>85.606138956189398</v>
      </c>
      <c r="T51" s="28"/>
      <c r="U51" s="44"/>
      <c r="V51" s="44"/>
      <c r="AF51" s="31">
        <f t="shared" si="95"/>
        <v>0.68060088833389931</v>
      </c>
      <c r="AG51" s="32">
        <f t="shared" si="96"/>
        <v>30638.97005645734</v>
      </c>
      <c r="AH51" s="32">
        <f t="shared" si="97"/>
        <v>22579.200559575798</v>
      </c>
      <c r="AI51" s="32">
        <f t="shared" si="98"/>
        <v>4252.751917098446</v>
      </c>
      <c r="AJ51" s="31">
        <f t="shared" si="99"/>
        <v>4.0697302528999995</v>
      </c>
      <c r="AK51" s="31">
        <f t="shared" si="100"/>
        <v>2.0146150021481479</v>
      </c>
      <c r="AL51" s="31">
        <f t="shared" si="101"/>
        <v>0.49637275555563615</v>
      </c>
      <c r="AM51" s="31">
        <f t="shared" si="102"/>
        <v>1.686809241649702</v>
      </c>
      <c r="AN51" s="31">
        <f t="shared" si="103"/>
        <v>0.41663082104515664</v>
      </c>
      <c r="AO51" s="31">
        <f t="shared" si="104"/>
        <v>0.79115456782586568</v>
      </c>
      <c r="AP51" s="31">
        <f t="shared" si="105"/>
        <v>1.2639755120773082</v>
      </c>
      <c r="AQ51" s="31">
        <f t="shared" si="106"/>
        <v>0.25920360157932604</v>
      </c>
      <c r="AR51" s="31">
        <f t="shared" si="107"/>
        <v>0.79115456782586568</v>
      </c>
      <c r="AS51" s="32">
        <f t="shared" si="108"/>
        <v>1825.5118968365757</v>
      </c>
      <c r="AT51" s="32">
        <f t="shared" si="109"/>
        <v>2053.2256242583644</v>
      </c>
      <c r="AU51" s="31">
        <f t="shared" si="110"/>
        <v>7.5756549931289385E-2</v>
      </c>
      <c r="AV51" s="31">
        <f t="shared" si="111"/>
        <v>0.45095200120768753</v>
      </c>
      <c r="AX51" s="28">
        <v>170.81701439250284</v>
      </c>
      <c r="AY51" s="28">
        <v>2050.2265007070059</v>
      </c>
      <c r="AZ51" s="28">
        <v>34408.823836917647</v>
      </c>
      <c r="BA51" s="24"/>
      <c r="BB51" s="28">
        <v>23.194368274932849</v>
      </c>
      <c r="BC51" s="28">
        <v>308.90153291421137</v>
      </c>
      <c r="BD51" s="28">
        <v>205.42690362111034</v>
      </c>
      <c r="BF51" s="28">
        <v>145.52113566677568</v>
      </c>
      <c r="BG51" s="28">
        <v>117.8405234475603</v>
      </c>
      <c r="BH51" s="28">
        <v>113.0328996446852</v>
      </c>
      <c r="BI51" s="28">
        <v>31.676474804557664</v>
      </c>
      <c r="BJ51" s="28">
        <v>513.3036204727938</v>
      </c>
      <c r="BK51" s="28">
        <v>171.68868519770567</v>
      </c>
      <c r="BL51" s="24"/>
      <c r="BM51" s="24"/>
      <c r="BN51" s="24"/>
      <c r="BO51" s="24"/>
      <c r="BP51" s="24"/>
      <c r="BQ51" s="24"/>
      <c r="BR51" s="24"/>
      <c r="BS51" s="24"/>
      <c r="BT51" s="24"/>
      <c r="BU51" s="24"/>
      <c r="BV51" s="24"/>
      <c r="BW51" s="24"/>
      <c r="BX51" s="24"/>
      <c r="BY51" s="24"/>
      <c r="BZ51" s="24"/>
      <c r="CA51" s="24"/>
      <c r="CB51" s="24"/>
      <c r="CC51" s="24"/>
      <c r="CD51" s="24"/>
      <c r="CE51" s="24"/>
      <c r="CG51" s="34"/>
      <c r="CH51" s="34"/>
      <c r="CI51" s="34"/>
      <c r="CJ51" s="34"/>
      <c r="CK51" s="34"/>
      <c r="CL51" s="34">
        <v>5.0590999999999999</v>
      </c>
      <c r="CM51" s="34"/>
      <c r="CN51" s="34"/>
      <c r="CO51" s="34"/>
      <c r="CP51" s="34"/>
      <c r="CQ51" s="34"/>
      <c r="CR51" s="34"/>
      <c r="CS51" s="34"/>
      <c r="CT51" s="34"/>
      <c r="CU51" s="34"/>
      <c r="CV51" s="34"/>
      <c r="CW51" s="34"/>
      <c r="CX51" s="32">
        <f t="shared" si="126"/>
        <v>178.45654779856616</v>
      </c>
      <c r="CY51" s="34"/>
      <c r="CZ51" s="34"/>
      <c r="DA51" s="34"/>
      <c r="DB51" s="34">
        <f t="shared" si="127"/>
        <v>2.9897347043091762</v>
      </c>
      <c r="DC51" s="34"/>
      <c r="DD51" s="34"/>
      <c r="DE51" s="34"/>
      <c r="DF51" s="34"/>
      <c r="DG51" s="31">
        <f t="shared" si="112"/>
        <v>5.420069191948178</v>
      </c>
      <c r="DH51" s="32"/>
      <c r="DI51" s="31"/>
      <c r="DJ51" s="34"/>
      <c r="DK51" s="34"/>
      <c r="DL51" s="34"/>
      <c r="DM51" s="34"/>
      <c r="DN51" s="34"/>
      <c r="DO51" s="34"/>
      <c r="DP51" s="32"/>
      <c r="DQ51" s="34"/>
      <c r="DR51" s="34"/>
      <c r="DS51" s="31"/>
      <c r="DT51" s="35">
        <f t="shared" si="128"/>
        <v>4.8775098734464567E-4</v>
      </c>
      <c r="DU51" s="34">
        <f t="shared" si="113"/>
        <v>16.204568962924462</v>
      </c>
      <c r="DV51" s="34"/>
      <c r="DW51" s="34">
        <f t="shared" si="130"/>
        <v>0.15150086258098971</v>
      </c>
      <c r="DX51" s="34">
        <f t="shared" si="114"/>
        <v>33.447783796959513</v>
      </c>
      <c r="DY51" s="34"/>
      <c r="DZ51" s="31">
        <f t="shared" si="129"/>
        <v>0.6273843149189533</v>
      </c>
      <c r="EA51" s="35"/>
      <c r="EB51" s="31"/>
      <c r="EC51" s="31"/>
      <c r="ED51" s="31"/>
      <c r="EE51" s="31">
        <f t="shared" si="115"/>
        <v>41.937325882370736</v>
      </c>
      <c r="EF51" s="31">
        <f t="shared" si="116"/>
        <v>5.970078820711243</v>
      </c>
      <c r="EG51" s="31">
        <f t="shared" si="117"/>
        <v>7.6255211129668936</v>
      </c>
      <c r="EH51" s="31">
        <f t="shared" si="118"/>
        <v>13.272069220881223</v>
      </c>
      <c r="EI51" s="31">
        <f t="shared" si="119"/>
        <v>0.304586176773536</v>
      </c>
      <c r="EJ51" s="31">
        <f t="shared" si="120"/>
        <v>12.135240451992026</v>
      </c>
      <c r="EK51" s="31">
        <f t="shared" si="121"/>
        <v>12.862799485747477</v>
      </c>
      <c r="EL51" s="31">
        <f t="shared" si="122"/>
        <v>1.5769897071177206</v>
      </c>
      <c r="EM51" s="31">
        <f t="shared" si="123"/>
        <v>3.1770271221925741</v>
      </c>
      <c r="EN51" s="31">
        <f t="shared" si="124"/>
        <v>1.1383620192465971</v>
      </c>
      <c r="EO51" s="31">
        <f t="shared" si="125"/>
        <v>100.00000000000003</v>
      </c>
    </row>
    <row r="52" spans="1:145" s="18" customFormat="1" ht="14.5" customHeight="1">
      <c r="A52" s="1" t="s">
        <v>231</v>
      </c>
      <c r="B52" s="1">
        <v>3</v>
      </c>
      <c r="C52" s="1" t="s">
        <v>245</v>
      </c>
      <c r="D52" s="1" t="s">
        <v>244</v>
      </c>
      <c r="E52" s="1"/>
      <c r="F52" s="1"/>
      <c r="G52" s="1">
        <v>36.5</v>
      </c>
      <c r="H52" s="1">
        <v>7.48</v>
      </c>
      <c r="I52" s="1">
        <v>4.72</v>
      </c>
      <c r="J52" s="1">
        <v>14.909200000000002</v>
      </c>
      <c r="K52" s="1">
        <v>0.24</v>
      </c>
      <c r="L52" s="1">
        <v>9.24</v>
      </c>
      <c r="M52" s="1">
        <v>15.06</v>
      </c>
      <c r="N52" s="1">
        <v>0.56999999999999995</v>
      </c>
      <c r="O52" s="1">
        <v>1.1200000000000001</v>
      </c>
      <c r="P52" s="1">
        <v>1.21</v>
      </c>
      <c r="Q52" s="1">
        <v>7.09</v>
      </c>
      <c r="R52" s="1"/>
      <c r="S52" s="15">
        <f t="shared" si="94"/>
        <v>91.049199999999999</v>
      </c>
      <c r="T52" s="16"/>
      <c r="U52" s="1">
        <v>0.70431100000000002</v>
      </c>
      <c r="V52" s="1">
        <v>0.51249599999999995</v>
      </c>
      <c r="AF52" s="19">
        <f t="shared" si="95"/>
        <v>0.59089008091412154</v>
      </c>
      <c r="AG52" s="20">
        <f t="shared" si="96"/>
        <v>44842.600000000006</v>
      </c>
      <c r="AH52" s="20">
        <f t="shared" si="97"/>
        <v>9298.2400000000016</v>
      </c>
      <c r="AI52" s="20">
        <f t="shared" si="98"/>
        <v>5280.44</v>
      </c>
      <c r="AJ52" s="19">
        <f t="shared" si="99"/>
        <v>1.69</v>
      </c>
      <c r="AK52" s="19">
        <f t="shared" si="100"/>
        <v>1.9649122807017547</v>
      </c>
      <c r="AL52" s="19">
        <f t="shared" si="101"/>
        <v>0.50892857142857129</v>
      </c>
      <c r="AM52" s="19">
        <f t="shared" si="102"/>
        <v>3.1906779661016951</v>
      </c>
      <c r="AN52" s="19">
        <f t="shared" si="103"/>
        <v>0.23728813559322037</v>
      </c>
      <c r="AO52" s="19">
        <f t="shared" si="104"/>
        <v>0.45549574990097036</v>
      </c>
      <c r="AP52" s="19">
        <f t="shared" si="105"/>
        <v>2.1954101662143075</v>
      </c>
      <c r="AQ52" s="19">
        <f t="shared" si="106"/>
        <v>0.15983322300244218</v>
      </c>
      <c r="AR52" s="19">
        <f t="shared" si="107"/>
        <v>0.45549574990097036</v>
      </c>
      <c r="AS52" s="20">
        <f t="shared" si="108"/>
        <v>2003.4386118996269</v>
      </c>
      <c r="AT52" s="20">
        <f t="shared" si="109"/>
        <v>2324.1533947254179</v>
      </c>
      <c r="AU52" s="19">
        <f t="shared" si="110"/>
        <v>3.0684931506849318E-2</v>
      </c>
      <c r="AV52" s="19">
        <f t="shared" si="111"/>
        <v>0.25683543848285295</v>
      </c>
      <c r="AX52" s="1">
        <v>119</v>
      </c>
      <c r="AY52" s="1"/>
      <c r="AZ52" s="1">
        <v>15900</v>
      </c>
      <c r="BA52" s="1">
        <v>140</v>
      </c>
      <c r="BB52" s="1">
        <v>40</v>
      </c>
      <c r="BC52" s="1">
        <v>349</v>
      </c>
      <c r="BD52" s="1">
        <v>264</v>
      </c>
      <c r="BE52" s="1">
        <v>54</v>
      </c>
      <c r="BF52" s="1"/>
      <c r="BG52" s="1">
        <v>174</v>
      </c>
      <c r="BH52" s="1">
        <v>139</v>
      </c>
      <c r="BI52" s="1">
        <v>35.700000000000003</v>
      </c>
      <c r="BJ52" s="1">
        <v>776</v>
      </c>
      <c r="BK52" s="1">
        <v>242</v>
      </c>
      <c r="BL52" s="1"/>
      <c r="BM52" s="1"/>
      <c r="BN52" s="1">
        <v>180</v>
      </c>
      <c r="BO52" s="1">
        <v>344</v>
      </c>
      <c r="BP52" s="1">
        <v>1698</v>
      </c>
      <c r="BQ52" s="1">
        <v>268</v>
      </c>
      <c r="BR52" s="1">
        <v>35.799999999999997</v>
      </c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>
        <v>29.9</v>
      </c>
      <c r="CD52" s="1">
        <v>6.9</v>
      </c>
      <c r="CE52" s="1">
        <v>10.4</v>
      </c>
      <c r="CG52" s="22">
        <f t="shared" ref="CG52:CG59" si="131">BN52/0.242</f>
        <v>743.80165289256206</v>
      </c>
      <c r="CH52" s="22">
        <f t="shared" ref="CH52:CH67" si="132">BO52/0.635</f>
        <v>541.73228346456688</v>
      </c>
      <c r="CI52" s="22"/>
      <c r="CJ52" s="22">
        <f t="shared" ref="CJ52:CJ83" si="133">BQ52/0.48</f>
        <v>558.33333333333337</v>
      </c>
      <c r="CK52" s="22">
        <f t="shared" ref="CK52:CK83" si="134">BR52/0.156</f>
        <v>229.48717948717947</v>
      </c>
      <c r="CL52" s="22">
        <v>6.0590999999999999</v>
      </c>
      <c r="CM52" s="22"/>
      <c r="CN52" s="22"/>
      <c r="CO52" s="22"/>
      <c r="CP52" s="22"/>
      <c r="CQ52" s="22"/>
      <c r="CR52" s="22"/>
      <c r="CS52" s="22"/>
      <c r="CT52" s="22"/>
      <c r="CU52" s="22">
        <f t="shared" ref="CU52:CU83" si="135">AZ52/BK52</f>
        <v>65.702479338842977</v>
      </c>
      <c r="CV52" s="22">
        <f t="shared" ref="CV52:CV83" si="136">AZ52/BN52</f>
        <v>88.333333333333329</v>
      </c>
      <c r="CW52" s="22">
        <f t="shared" ref="CW52:CW83" si="137">BN52/BK52</f>
        <v>0.74380165289256195</v>
      </c>
      <c r="CX52" s="20">
        <f t="shared" si="126"/>
        <v>185.3</v>
      </c>
      <c r="CY52" s="22"/>
      <c r="CZ52" s="22">
        <f t="shared" ref="CZ52:CZ76" si="138">BK52/CD52</f>
        <v>35.072463768115938</v>
      </c>
      <c r="DA52" s="22">
        <f t="shared" ref="DA52:DA83" si="139">AX52/BR52</f>
        <v>3.3240223463687153</v>
      </c>
      <c r="DB52" s="22">
        <f t="shared" si="127"/>
        <v>3.2066115702479339</v>
      </c>
      <c r="DC52" s="22">
        <f>AZ52/CC52</f>
        <v>531.7725752508361</v>
      </c>
      <c r="DD52" s="22"/>
      <c r="DE52" s="22"/>
      <c r="DF52" s="22"/>
      <c r="DG52" s="19">
        <f t="shared" si="112"/>
        <v>6.7787114845938374</v>
      </c>
      <c r="DH52" s="20">
        <f t="shared" ref="DH52:DH83" si="140">AH52/BN52</f>
        <v>51.656888888888901</v>
      </c>
      <c r="DI52" s="19">
        <f t="shared" ref="DI52:DI76" si="141">(BK52/0.46)/((O52/0.023)*(CD52/0.017))^0.5</f>
        <v>3.7420738691533089</v>
      </c>
      <c r="DJ52" s="22"/>
      <c r="DK52" s="22"/>
      <c r="DL52" s="22">
        <f t="shared" ref="DL52:DL83" si="142">CG52/CK52</f>
        <v>3.2411468673530641</v>
      </c>
      <c r="DM52" s="22"/>
      <c r="DN52" s="22"/>
      <c r="DO52" s="22"/>
      <c r="DP52" s="20"/>
      <c r="DQ52" s="22"/>
      <c r="DR52" s="22"/>
      <c r="DS52" s="19"/>
      <c r="DT52" s="23"/>
      <c r="DU52" s="22">
        <f t="shared" si="113"/>
        <v>21.736694677871146</v>
      </c>
      <c r="DV52" s="22"/>
      <c r="DW52" s="22">
        <f t="shared" si="130"/>
        <v>3.7356199879274854E-3</v>
      </c>
      <c r="DX52" s="22">
        <f t="shared" si="114"/>
        <v>31.185567010309278</v>
      </c>
      <c r="DY52" s="22">
        <f t="shared" ref="DY52:DY76" si="143">CC52*100/BJ52</f>
        <v>3.8530927835051547</v>
      </c>
      <c r="DZ52" s="19"/>
      <c r="EA52" s="23">
        <f t="shared" ref="EA52:EA76" si="144">BA52/BN52</f>
        <v>0.77777777777777779</v>
      </c>
      <c r="EB52" s="19">
        <f t="shared" ref="EB52:EB76" si="145">CC52/BK52</f>
        <v>0.12355371900826445</v>
      </c>
      <c r="EC52" s="19"/>
      <c r="ED52" s="19"/>
      <c r="EE52" s="19">
        <f t="shared" si="115"/>
        <v>40.088216041436937</v>
      </c>
      <c r="EF52" s="19">
        <f t="shared" si="116"/>
        <v>8.2153385202725566</v>
      </c>
      <c r="EG52" s="19">
        <f t="shared" si="117"/>
        <v>5.1840104031666394</v>
      </c>
      <c r="EH52" s="19">
        <f t="shared" si="118"/>
        <v>16.374883030273747</v>
      </c>
      <c r="EI52" s="19">
        <f t="shared" si="119"/>
        <v>0.26359374931355795</v>
      </c>
      <c r="EJ52" s="19">
        <f t="shared" si="120"/>
        <v>10.148359348571981</v>
      </c>
      <c r="EK52" s="19">
        <f t="shared" si="121"/>
        <v>16.540507769425762</v>
      </c>
      <c r="EL52" s="19">
        <f t="shared" si="122"/>
        <v>0.62603515461970005</v>
      </c>
      <c r="EM52" s="19">
        <f t="shared" si="123"/>
        <v>1.2301041634632706</v>
      </c>
      <c r="EN52" s="19">
        <f t="shared" si="124"/>
        <v>1.3289518194558547</v>
      </c>
      <c r="EO52" s="19">
        <f t="shared" si="125"/>
        <v>100</v>
      </c>
    </row>
    <row r="53" spans="1:145" s="18" customFormat="1" ht="14.5" customHeight="1">
      <c r="A53" s="1" t="s">
        <v>231</v>
      </c>
      <c r="B53" s="1">
        <v>3</v>
      </c>
      <c r="C53" s="1" t="s">
        <v>245</v>
      </c>
      <c r="D53" s="1" t="s">
        <v>244</v>
      </c>
      <c r="E53" s="1"/>
      <c r="F53" s="1"/>
      <c r="G53" s="1">
        <v>38.869999999999997</v>
      </c>
      <c r="H53" s="1">
        <v>5.46</v>
      </c>
      <c r="I53" s="1">
        <v>7.32</v>
      </c>
      <c r="J53" s="1">
        <v>12.941600000000001</v>
      </c>
      <c r="K53" s="1">
        <v>0.17</v>
      </c>
      <c r="L53" s="1">
        <v>6.48</v>
      </c>
      <c r="M53" s="1">
        <v>11.36</v>
      </c>
      <c r="N53" s="1">
        <v>1.76</v>
      </c>
      <c r="O53" s="1">
        <v>1.61</v>
      </c>
      <c r="P53" s="1">
        <v>1.2</v>
      </c>
      <c r="Q53" s="1">
        <v>6.82</v>
      </c>
      <c r="R53" s="1"/>
      <c r="S53" s="15">
        <f t="shared" si="94"/>
        <v>87.171600000000012</v>
      </c>
      <c r="T53" s="16"/>
      <c r="U53" s="1">
        <v>0.70505300000000004</v>
      </c>
      <c r="V53" s="1">
        <v>0.51231599999999999</v>
      </c>
      <c r="AF53" s="19">
        <f t="shared" si="95"/>
        <v>0.5385126411154213</v>
      </c>
      <c r="AG53" s="20">
        <f t="shared" si="96"/>
        <v>32732.7</v>
      </c>
      <c r="AH53" s="20">
        <f t="shared" si="97"/>
        <v>13366.220000000001</v>
      </c>
      <c r="AI53" s="20">
        <f t="shared" si="98"/>
        <v>5236.8</v>
      </c>
      <c r="AJ53" s="19">
        <f t="shared" si="99"/>
        <v>3.37</v>
      </c>
      <c r="AK53" s="19">
        <f t="shared" si="100"/>
        <v>0.91477272727272729</v>
      </c>
      <c r="AL53" s="19">
        <f t="shared" si="101"/>
        <v>1.0931677018633539</v>
      </c>
      <c r="AM53" s="19">
        <f t="shared" si="102"/>
        <v>1.5519125683060109</v>
      </c>
      <c r="AN53" s="19">
        <f t="shared" si="103"/>
        <v>0.21994535519125682</v>
      </c>
      <c r="AO53" s="19">
        <f t="shared" si="104"/>
        <v>0.63359437148238285</v>
      </c>
      <c r="AP53" s="19">
        <f t="shared" si="105"/>
        <v>1.5782968489135405</v>
      </c>
      <c r="AQ53" s="19">
        <f t="shared" si="106"/>
        <v>0.28942278750137579</v>
      </c>
      <c r="AR53" s="19">
        <f t="shared" si="107"/>
        <v>0.63359437148238285</v>
      </c>
      <c r="AS53" s="20">
        <f t="shared" si="108"/>
        <v>2051.9452893321509</v>
      </c>
      <c r="AT53" s="20">
        <f t="shared" si="109"/>
        <v>1845.5408772229825</v>
      </c>
      <c r="AU53" s="19">
        <f t="shared" si="110"/>
        <v>4.142011834319527E-2</v>
      </c>
      <c r="AV53" s="19">
        <f t="shared" si="111"/>
        <v>0.23806399591614166</v>
      </c>
      <c r="AX53" s="1">
        <v>594</v>
      </c>
      <c r="AY53" s="1"/>
      <c r="AZ53" s="1">
        <v>50100</v>
      </c>
      <c r="BA53" s="1">
        <v>13</v>
      </c>
      <c r="BB53" s="1">
        <v>17</v>
      </c>
      <c r="BC53" s="1">
        <v>228</v>
      </c>
      <c r="BD53" s="1">
        <v>45</v>
      </c>
      <c r="BE53" s="1">
        <v>35</v>
      </c>
      <c r="BF53" s="1"/>
      <c r="BG53" s="1">
        <v>134</v>
      </c>
      <c r="BH53" s="1">
        <v>112</v>
      </c>
      <c r="BI53" s="1">
        <v>29.7</v>
      </c>
      <c r="BJ53" s="1">
        <v>708</v>
      </c>
      <c r="BK53" s="1">
        <v>253</v>
      </c>
      <c r="BL53" s="1"/>
      <c r="BM53" s="1"/>
      <c r="BN53" s="1">
        <v>170</v>
      </c>
      <c r="BO53" s="1">
        <v>374</v>
      </c>
      <c r="BP53" s="1">
        <v>1960</v>
      </c>
      <c r="BQ53" s="1">
        <v>160</v>
      </c>
      <c r="BR53" s="1">
        <v>22.9</v>
      </c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>
        <v>21.9</v>
      </c>
      <c r="CD53" s="1">
        <v>7.3</v>
      </c>
      <c r="CE53" s="1">
        <v>3.6</v>
      </c>
      <c r="CG53" s="22">
        <f t="shared" si="131"/>
        <v>702.47933884297527</v>
      </c>
      <c r="CH53" s="22">
        <f t="shared" si="132"/>
        <v>588.97637795275591</v>
      </c>
      <c r="CI53" s="22"/>
      <c r="CJ53" s="22">
        <f t="shared" si="133"/>
        <v>333.33333333333337</v>
      </c>
      <c r="CK53" s="22">
        <f t="shared" si="134"/>
        <v>146.7948717948718</v>
      </c>
      <c r="CL53" s="22">
        <v>7.0590999999999999</v>
      </c>
      <c r="CM53" s="22"/>
      <c r="CN53" s="22"/>
      <c r="CO53" s="22"/>
      <c r="CP53" s="22"/>
      <c r="CQ53" s="22"/>
      <c r="CR53" s="22"/>
      <c r="CS53" s="22"/>
      <c r="CT53" s="22"/>
      <c r="CU53" s="22">
        <f t="shared" si="135"/>
        <v>198.02371541501975</v>
      </c>
      <c r="CV53" s="22">
        <f t="shared" si="136"/>
        <v>294.70588235294116</v>
      </c>
      <c r="CW53" s="22">
        <f t="shared" si="137"/>
        <v>0.67193675889328064</v>
      </c>
      <c r="CX53" s="20">
        <f t="shared" si="126"/>
        <v>129.37826086956522</v>
      </c>
      <c r="CY53" s="22"/>
      <c r="CZ53" s="22">
        <f t="shared" si="138"/>
        <v>34.657534246575345</v>
      </c>
      <c r="DA53" s="22">
        <f t="shared" si="139"/>
        <v>25.938864628820962</v>
      </c>
      <c r="DB53" s="22">
        <f t="shared" si="127"/>
        <v>2.7984189723320156</v>
      </c>
      <c r="DC53" s="22"/>
      <c r="DD53" s="22"/>
      <c r="DE53" s="22"/>
      <c r="DF53" s="22"/>
      <c r="DG53" s="19">
        <f t="shared" si="112"/>
        <v>8.518518518518519</v>
      </c>
      <c r="DH53" s="20">
        <f t="shared" si="140"/>
        <v>78.624823529411771</v>
      </c>
      <c r="DI53" s="19">
        <f t="shared" si="141"/>
        <v>3.1723178880400473</v>
      </c>
      <c r="DJ53" s="22"/>
      <c r="DK53" s="22"/>
      <c r="DL53" s="22">
        <f t="shared" si="142"/>
        <v>4.7854487711573857</v>
      </c>
      <c r="DM53" s="22"/>
      <c r="DN53" s="22"/>
      <c r="DO53" s="22"/>
      <c r="DP53" s="20"/>
      <c r="DQ53" s="22"/>
      <c r="DR53" s="22"/>
      <c r="DS53" s="19"/>
      <c r="DT53" s="23"/>
      <c r="DU53" s="22">
        <f t="shared" si="113"/>
        <v>23.838383838383837</v>
      </c>
      <c r="DV53" s="22"/>
      <c r="DW53" s="22">
        <f t="shared" si="130"/>
        <v>2.5992599783296821E-2</v>
      </c>
      <c r="DX53" s="22">
        <f t="shared" si="114"/>
        <v>35.734463276836159</v>
      </c>
      <c r="DY53" s="22">
        <f t="shared" si="143"/>
        <v>3.093220338983051</v>
      </c>
      <c r="DZ53" s="19"/>
      <c r="EA53" s="23">
        <f t="shared" si="144"/>
        <v>7.6470588235294124E-2</v>
      </c>
      <c r="EB53" s="19">
        <f t="shared" si="145"/>
        <v>8.6561264822134387E-2</v>
      </c>
      <c r="EC53" s="19"/>
      <c r="ED53" s="19"/>
      <c r="EE53" s="19">
        <f t="shared" si="115"/>
        <v>44.590210573168314</v>
      </c>
      <c r="EF53" s="19">
        <f t="shared" si="116"/>
        <v>6.2635078397092618</v>
      </c>
      <c r="EG53" s="19">
        <f t="shared" si="117"/>
        <v>8.3972302905992304</v>
      </c>
      <c r="EH53" s="19">
        <f t="shared" si="118"/>
        <v>14.84611960776216</v>
      </c>
      <c r="EI53" s="19">
        <f t="shared" si="119"/>
        <v>0.1950176433609111</v>
      </c>
      <c r="EJ53" s="19">
        <f t="shared" si="120"/>
        <v>7.4336136998747291</v>
      </c>
      <c r="EK53" s="19">
        <f t="shared" si="121"/>
        <v>13.031767226940882</v>
      </c>
      <c r="EL53" s="19">
        <f t="shared" si="122"/>
        <v>2.0190061900894327</v>
      </c>
      <c r="EM53" s="19">
        <f t="shared" si="123"/>
        <v>1.8469317988886287</v>
      </c>
      <c r="EN53" s="19">
        <f t="shared" si="124"/>
        <v>1.3765951296064312</v>
      </c>
      <c r="EO53" s="19">
        <f t="shared" si="125"/>
        <v>99.999999999999986</v>
      </c>
    </row>
    <row r="54" spans="1:145" s="18" customFormat="1" ht="14.5" customHeight="1">
      <c r="A54" s="1" t="s">
        <v>231</v>
      </c>
      <c r="B54" s="1">
        <v>3</v>
      </c>
      <c r="C54" s="1" t="s">
        <v>245</v>
      </c>
      <c r="D54" s="1" t="s">
        <v>244</v>
      </c>
      <c r="E54" s="1"/>
      <c r="F54" s="1"/>
      <c r="G54" s="1">
        <v>34.840000000000003</v>
      </c>
      <c r="H54" s="1">
        <v>7.18</v>
      </c>
      <c r="I54" s="1">
        <v>4.9800000000000004</v>
      </c>
      <c r="J54" s="1">
        <v>15.2995</v>
      </c>
      <c r="K54" s="1">
        <v>0.2</v>
      </c>
      <c r="L54" s="1">
        <v>9.7799999999999994</v>
      </c>
      <c r="M54" s="1">
        <v>16.2</v>
      </c>
      <c r="N54" s="1">
        <v>0.43</v>
      </c>
      <c r="O54" s="1">
        <v>1.17</v>
      </c>
      <c r="P54" s="1">
        <v>1.78</v>
      </c>
      <c r="Q54" s="1">
        <v>7.79</v>
      </c>
      <c r="R54" s="1"/>
      <c r="S54" s="15">
        <f t="shared" si="94"/>
        <v>91.859500000000011</v>
      </c>
      <c r="T54" s="16"/>
      <c r="U54" s="1">
        <v>0.70538199999999995</v>
      </c>
      <c r="V54" s="1">
        <v>0.51232</v>
      </c>
      <c r="AF54" s="19">
        <f t="shared" si="95"/>
        <v>0.59835174453205575</v>
      </c>
      <c r="AG54" s="20">
        <f t="shared" si="96"/>
        <v>43044.1</v>
      </c>
      <c r="AH54" s="20">
        <f t="shared" si="97"/>
        <v>9713.34</v>
      </c>
      <c r="AI54" s="20">
        <f t="shared" si="98"/>
        <v>7767.92</v>
      </c>
      <c r="AJ54" s="19">
        <f t="shared" si="99"/>
        <v>1.5999999999999999</v>
      </c>
      <c r="AK54" s="19">
        <f t="shared" si="100"/>
        <v>2.7209302325581395</v>
      </c>
      <c r="AL54" s="19">
        <f t="shared" si="101"/>
        <v>0.36752136752136755</v>
      </c>
      <c r="AM54" s="19">
        <f t="shared" si="102"/>
        <v>3.2530120481927711</v>
      </c>
      <c r="AN54" s="19">
        <f t="shared" si="103"/>
        <v>0.23493975903614456</v>
      </c>
      <c r="AO54" s="19">
        <f t="shared" si="104"/>
        <v>0.39633580020049158</v>
      </c>
      <c r="AP54" s="19">
        <f t="shared" si="105"/>
        <v>2.5231129751441506</v>
      </c>
      <c r="AQ54" s="19">
        <f t="shared" si="106"/>
        <v>0.15846122168157289</v>
      </c>
      <c r="AR54" s="19">
        <f t="shared" si="107"/>
        <v>0.39633580020049158</v>
      </c>
      <c r="AS54" s="20">
        <f t="shared" si="108"/>
        <v>1889.0017809869094</v>
      </c>
      <c r="AT54" s="20">
        <f t="shared" si="109"/>
        <v>2468.3791181015804</v>
      </c>
      <c r="AU54" s="19">
        <f t="shared" si="110"/>
        <v>3.3582089552238799E-2</v>
      </c>
      <c r="AV54" s="19">
        <f t="shared" si="111"/>
        <v>0.25429360755122393</v>
      </c>
      <c r="AX54" s="1">
        <v>149</v>
      </c>
      <c r="AY54" s="1"/>
      <c r="AZ54" s="1">
        <v>5210</v>
      </c>
      <c r="BA54" s="1">
        <v>94</v>
      </c>
      <c r="BB54" s="1">
        <v>20</v>
      </c>
      <c r="BC54" s="1">
        <v>450</v>
      </c>
      <c r="BD54" s="1">
        <v>109</v>
      </c>
      <c r="BE54" s="1">
        <v>54</v>
      </c>
      <c r="BF54" s="1"/>
      <c r="BG54" s="1">
        <v>180</v>
      </c>
      <c r="BH54" s="1">
        <v>177</v>
      </c>
      <c r="BI54" s="1">
        <v>34.700000000000003</v>
      </c>
      <c r="BJ54" s="1">
        <v>732</v>
      </c>
      <c r="BK54" s="1">
        <v>264</v>
      </c>
      <c r="BL54" s="1"/>
      <c r="BM54" s="1"/>
      <c r="BN54" s="1">
        <v>162</v>
      </c>
      <c r="BO54" s="1">
        <v>279</v>
      </c>
      <c r="BP54" s="1">
        <v>1702</v>
      </c>
      <c r="BQ54" s="1">
        <v>206</v>
      </c>
      <c r="BR54" s="1">
        <v>28.7</v>
      </c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>
        <v>24.6</v>
      </c>
      <c r="CD54" s="1">
        <v>8.1</v>
      </c>
      <c r="CE54" s="1">
        <v>14.6</v>
      </c>
      <c r="CG54" s="22">
        <f t="shared" si="131"/>
        <v>669.42148760330576</v>
      </c>
      <c r="CH54" s="22">
        <f t="shared" si="132"/>
        <v>439.37007874015745</v>
      </c>
      <c r="CI54" s="22"/>
      <c r="CJ54" s="22">
        <f t="shared" si="133"/>
        <v>429.16666666666669</v>
      </c>
      <c r="CK54" s="22">
        <f t="shared" si="134"/>
        <v>183.97435897435898</v>
      </c>
      <c r="CL54" s="22">
        <v>8.0591000000000008</v>
      </c>
      <c r="CM54" s="22"/>
      <c r="CN54" s="22"/>
      <c r="CO54" s="22"/>
      <c r="CP54" s="22"/>
      <c r="CQ54" s="22"/>
      <c r="CR54" s="22"/>
      <c r="CS54" s="22"/>
      <c r="CT54" s="22"/>
      <c r="CU54" s="22">
        <f t="shared" si="135"/>
        <v>19.734848484848484</v>
      </c>
      <c r="CV54" s="22">
        <f t="shared" si="136"/>
        <v>32.160493827160494</v>
      </c>
      <c r="CW54" s="22">
        <f t="shared" si="137"/>
        <v>0.61363636363636365</v>
      </c>
      <c r="CX54" s="20">
        <f t="shared" si="126"/>
        <v>163.04583333333332</v>
      </c>
      <c r="CY54" s="22"/>
      <c r="CZ54" s="22">
        <f t="shared" si="138"/>
        <v>32.592592592592595</v>
      </c>
      <c r="DA54" s="22">
        <f t="shared" si="139"/>
        <v>5.1916376306620213</v>
      </c>
      <c r="DB54" s="22">
        <f t="shared" si="127"/>
        <v>2.7727272727272729</v>
      </c>
      <c r="DC54" s="22">
        <f t="shared" ref="DC54:DC76" si="146">AZ54/CC54</f>
        <v>211.78861788617886</v>
      </c>
      <c r="DD54" s="22"/>
      <c r="DE54" s="22"/>
      <c r="DF54" s="22"/>
      <c r="DG54" s="19">
        <f t="shared" si="112"/>
        <v>7.608069164265129</v>
      </c>
      <c r="DH54" s="20">
        <f t="shared" si="140"/>
        <v>59.958888888888893</v>
      </c>
      <c r="DI54" s="19">
        <f t="shared" si="141"/>
        <v>3.6863709377624989</v>
      </c>
      <c r="DJ54" s="22"/>
      <c r="DK54" s="22"/>
      <c r="DL54" s="22">
        <f t="shared" si="142"/>
        <v>3.6386673193768537</v>
      </c>
      <c r="DM54" s="22"/>
      <c r="DN54" s="22"/>
      <c r="DO54" s="22"/>
      <c r="DP54" s="20"/>
      <c r="DQ54" s="22"/>
      <c r="DR54" s="22"/>
      <c r="DS54" s="19"/>
      <c r="DT54" s="23"/>
      <c r="DU54" s="22">
        <f t="shared" si="113"/>
        <v>21.095100864553313</v>
      </c>
      <c r="DV54" s="22"/>
      <c r="DW54" s="22">
        <f t="shared" si="130"/>
        <v>7.8845768045322728E-2</v>
      </c>
      <c r="DX54" s="22">
        <f t="shared" si="114"/>
        <v>36.065573770491802</v>
      </c>
      <c r="DY54" s="22">
        <f t="shared" si="143"/>
        <v>3.360655737704918</v>
      </c>
      <c r="DZ54" s="19"/>
      <c r="EA54" s="23">
        <f t="shared" si="144"/>
        <v>0.58024691358024694</v>
      </c>
      <c r="EB54" s="19">
        <f t="shared" si="145"/>
        <v>9.3181818181818185E-2</v>
      </c>
      <c r="EC54" s="19"/>
      <c r="ED54" s="19"/>
      <c r="EE54" s="19">
        <f t="shared" si="115"/>
        <v>37.927487086256733</v>
      </c>
      <c r="EF54" s="19">
        <f t="shared" si="116"/>
        <v>7.8162846521045717</v>
      </c>
      <c r="EG54" s="19">
        <f t="shared" si="117"/>
        <v>5.4213227809861797</v>
      </c>
      <c r="EH54" s="19">
        <f t="shared" si="118"/>
        <v>16.65532688507993</v>
      </c>
      <c r="EI54" s="19">
        <f t="shared" si="119"/>
        <v>0.21772380646530839</v>
      </c>
      <c r="EJ54" s="19">
        <f t="shared" si="120"/>
        <v>10.646694136153579</v>
      </c>
      <c r="EK54" s="19">
        <f t="shared" si="121"/>
        <v>17.635628323689982</v>
      </c>
      <c r="EL54" s="19">
        <f t="shared" si="122"/>
        <v>0.46810618390041309</v>
      </c>
      <c r="EM54" s="19">
        <f t="shared" si="123"/>
        <v>1.2736842678220541</v>
      </c>
      <c r="EN54" s="19">
        <f t="shared" si="124"/>
        <v>1.9377418775412447</v>
      </c>
      <c r="EO54" s="19">
        <f t="shared" si="125"/>
        <v>100</v>
      </c>
    </row>
    <row r="55" spans="1:145" s="18" customFormat="1" ht="14.5" customHeight="1">
      <c r="A55" s="1" t="s">
        <v>231</v>
      </c>
      <c r="B55" s="1">
        <v>3</v>
      </c>
      <c r="C55" s="1" t="s">
        <v>245</v>
      </c>
      <c r="D55" s="1" t="s">
        <v>244</v>
      </c>
      <c r="E55" s="1"/>
      <c r="F55" s="1"/>
      <c r="G55" s="1">
        <v>38.03</v>
      </c>
      <c r="H55" s="1">
        <v>4.43</v>
      </c>
      <c r="I55" s="1">
        <v>5.33</v>
      </c>
      <c r="J55" s="1">
        <v>14.546900000000001</v>
      </c>
      <c r="K55" s="1">
        <v>0.22</v>
      </c>
      <c r="L55" s="1">
        <v>16.43</v>
      </c>
      <c r="M55" s="1">
        <v>11.02</v>
      </c>
      <c r="N55" s="1">
        <v>1.01</v>
      </c>
      <c r="O55" s="1">
        <v>1.57</v>
      </c>
      <c r="P55" s="1">
        <v>0.92</v>
      </c>
      <c r="Q55" s="1">
        <v>6.31</v>
      </c>
      <c r="R55" s="1"/>
      <c r="S55" s="15">
        <f t="shared" si="94"/>
        <v>93.506899999999987</v>
      </c>
      <c r="T55" s="16"/>
      <c r="U55" s="1"/>
      <c r="V55" s="1">
        <v>0.51229800000000003</v>
      </c>
      <c r="AF55" s="19">
        <f t="shared" si="95"/>
        <v>0.72468351679439691</v>
      </c>
      <c r="AG55" s="20">
        <f t="shared" si="96"/>
        <v>26557.85</v>
      </c>
      <c r="AH55" s="20">
        <f t="shared" si="97"/>
        <v>13034.140000000001</v>
      </c>
      <c r="AI55" s="20">
        <f t="shared" si="98"/>
        <v>4014.88</v>
      </c>
      <c r="AJ55" s="19">
        <f t="shared" si="99"/>
        <v>2.58</v>
      </c>
      <c r="AK55" s="19">
        <f t="shared" si="100"/>
        <v>1.5544554455445545</v>
      </c>
      <c r="AL55" s="19">
        <f t="shared" si="101"/>
        <v>0.64331210191082799</v>
      </c>
      <c r="AM55" s="19">
        <f t="shared" si="102"/>
        <v>2.0675422138836774</v>
      </c>
      <c r="AN55" s="19">
        <f t="shared" si="103"/>
        <v>0.29455909943714825</v>
      </c>
      <c r="AO55" s="19">
        <f t="shared" si="104"/>
        <v>0.63054982936455328</v>
      </c>
      <c r="AP55" s="19">
        <f t="shared" si="105"/>
        <v>1.5859174857088869</v>
      </c>
      <c r="AQ55" s="19">
        <f t="shared" si="106"/>
        <v>0.22781205021917822</v>
      </c>
      <c r="AR55" s="19">
        <f t="shared" si="107"/>
        <v>0.63054982936455328</v>
      </c>
      <c r="AS55" s="20">
        <f t="shared" si="108"/>
        <v>2006.5398190637009</v>
      </c>
      <c r="AT55" s="20">
        <f t="shared" si="109"/>
        <v>2188.8117076997401</v>
      </c>
      <c r="AU55" s="19">
        <f t="shared" si="110"/>
        <v>4.1283197475677096E-2</v>
      </c>
      <c r="AV55" s="19">
        <f t="shared" si="111"/>
        <v>0.31882426516572854</v>
      </c>
      <c r="AX55" s="1">
        <v>174</v>
      </c>
      <c r="AY55" s="1"/>
      <c r="AZ55" s="1">
        <v>3560</v>
      </c>
      <c r="BA55" s="1">
        <v>870</v>
      </c>
      <c r="BB55" s="1">
        <v>21</v>
      </c>
      <c r="BC55" s="1">
        <v>181</v>
      </c>
      <c r="BD55" s="1">
        <v>696</v>
      </c>
      <c r="BE55" s="1">
        <v>77</v>
      </c>
      <c r="BF55" s="1"/>
      <c r="BG55" s="1">
        <v>100</v>
      </c>
      <c r="BH55" s="1">
        <v>105</v>
      </c>
      <c r="BI55" s="1">
        <v>27.3</v>
      </c>
      <c r="BJ55" s="1">
        <v>650</v>
      </c>
      <c r="BK55" s="1">
        <v>207</v>
      </c>
      <c r="BL55" s="1"/>
      <c r="BM55" s="1"/>
      <c r="BN55" s="1">
        <v>177</v>
      </c>
      <c r="BO55" s="1">
        <v>324</v>
      </c>
      <c r="BP55" s="1">
        <v>1445</v>
      </c>
      <c r="BQ55" s="1">
        <v>179</v>
      </c>
      <c r="BR55" s="1">
        <v>23.3</v>
      </c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>
        <v>22.4</v>
      </c>
      <c r="CD55" s="1">
        <v>4.8</v>
      </c>
      <c r="CE55" s="1">
        <v>10.8</v>
      </c>
      <c r="CG55" s="22">
        <f t="shared" si="131"/>
        <v>731.40495867768595</v>
      </c>
      <c r="CH55" s="22">
        <f t="shared" si="132"/>
        <v>510.23622047244095</v>
      </c>
      <c r="CI55" s="22"/>
      <c r="CJ55" s="22">
        <f t="shared" si="133"/>
        <v>372.91666666666669</v>
      </c>
      <c r="CK55" s="22">
        <f t="shared" si="134"/>
        <v>149.35897435897436</v>
      </c>
      <c r="CL55" s="22">
        <v>9.0591000000000008</v>
      </c>
      <c r="CM55" s="22"/>
      <c r="CN55" s="22"/>
      <c r="CO55" s="22"/>
      <c r="CP55" s="22"/>
      <c r="CQ55" s="22"/>
      <c r="CR55" s="22"/>
      <c r="CS55" s="22"/>
      <c r="CT55" s="22"/>
      <c r="CU55" s="22">
        <f t="shared" si="135"/>
        <v>17.198067632850243</v>
      </c>
      <c r="CV55" s="22">
        <f t="shared" si="136"/>
        <v>20.112994350282484</v>
      </c>
      <c r="CW55" s="22">
        <f t="shared" si="137"/>
        <v>0.85507246376811596</v>
      </c>
      <c r="CX55" s="20">
        <f t="shared" si="126"/>
        <v>128.29879227053141</v>
      </c>
      <c r="CY55" s="22"/>
      <c r="CZ55" s="22">
        <f t="shared" si="138"/>
        <v>43.125</v>
      </c>
      <c r="DA55" s="22">
        <f t="shared" si="139"/>
        <v>7.4678111587982832</v>
      </c>
      <c r="DB55" s="22">
        <f t="shared" si="127"/>
        <v>3.1400966183574881</v>
      </c>
      <c r="DC55" s="22">
        <f t="shared" si="146"/>
        <v>158.92857142857144</v>
      </c>
      <c r="DD55" s="22"/>
      <c r="DE55" s="22"/>
      <c r="DF55" s="22"/>
      <c r="DG55" s="19">
        <f t="shared" si="112"/>
        <v>7.5824175824175821</v>
      </c>
      <c r="DH55" s="20">
        <f t="shared" si="140"/>
        <v>73.639209039548035</v>
      </c>
      <c r="DI55" s="19">
        <f t="shared" si="141"/>
        <v>3.2413837278757325</v>
      </c>
      <c r="DJ55" s="22"/>
      <c r="DK55" s="22"/>
      <c r="DL55" s="22">
        <f t="shared" si="142"/>
        <v>4.896960238357039</v>
      </c>
      <c r="DM55" s="22"/>
      <c r="DN55" s="22"/>
      <c r="DO55" s="22"/>
      <c r="DP55" s="20"/>
      <c r="DQ55" s="22"/>
      <c r="DR55" s="22"/>
      <c r="DS55" s="19"/>
      <c r="DT55" s="23"/>
      <c r="DU55" s="22">
        <f t="shared" si="113"/>
        <v>23.80952380952381</v>
      </c>
      <c r="DV55" s="22"/>
      <c r="DW55" s="22">
        <f t="shared" si="130"/>
        <v>-2.3553664019869469E-2</v>
      </c>
      <c r="DX55" s="22">
        <f t="shared" si="114"/>
        <v>31.846153846153847</v>
      </c>
      <c r="DY55" s="22">
        <f t="shared" si="143"/>
        <v>3.4461538461538463</v>
      </c>
      <c r="DZ55" s="19"/>
      <c r="EA55" s="23">
        <f t="shared" si="144"/>
        <v>4.9152542372881358</v>
      </c>
      <c r="EB55" s="19">
        <f t="shared" si="145"/>
        <v>0.10821256038647342</v>
      </c>
      <c r="EC55" s="19"/>
      <c r="ED55" s="19"/>
      <c r="EE55" s="19">
        <f t="shared" si="115"/>
        <v>40.670795417236597</v>
      </c>
      <c r="EF55" s="19">
        <f t="shared" si="116"/>
        <v>4.7376182934093638</v>
      </c>
      <c r="EG55" s="19">
        <f t="shared" si="117"/>
        <v>5.7001141092261651</v>
      </c>
      <c r="EH55" s="19">
        <f t="shared" si="118"/>
        <v>15.557033759006023</v>
      </c>
      <c r="EI55" s="19">
        <f t="shared" si="119"/>
        <v>0.23527675497744019</v>
      </c>
      <c r="EJ55" s="19">
        <f t="shared" si="120"/>
        <v>17.570895837633376</v>
      </c>
      <c r="EK55" s="19">
        <f t="shared" si="121"/>
        <v>11.78522654477905</v>
      </c>
      <c r="EL55" s="19">
        <f t="shared" si="122"/>
        <v>1.0801341933055209</v>
      </c>
      <c r="EM55" s="19">
        <f t="shared" si="123"/>
        <v>1.6790204787026415</v>
      </c>
      <c r="EN55" s="19">
        <f t="shared" si="124"/>
        <v>0.98388461172384079</v>
      </c>
      <c r="EO55" s="19">
        <f t="shared" si="125"/>
        <v>100</v>
      </c>
    </row>
    <row r="56" spans="1:145" s="18" customFormat="1" ht="14.5" customHeight="1">
      <c r="A56" s="1" t="s">
        <v>231</v>
      </c>
      <c r="B56" s="1">
        <v>3</v>
      </c>
      <c r="C56" s="1" t="s">
        <v>245</v>
      </c>
      <c r="D56" s="1" t="s">
        <v>244</v>
      </c>
      <c r="E56" s="1"/>
      <c r="F56" s="1"/>
      <c r="G56" s="1">
        <v>36.909999999999997</v>
      </c>
      <c r="H56" s="1">
        <v>7.24</v>
      </c>
      <c r="I56" s="1">
        <v>4.7300000000000004</v>
      </c>
      <c r="J56" s="1">
        <v>15.3819</v>
      </c>
      <c r="K56" s="1">
        <v>0.22</v>
      </c>
      <c r="L56" s="1">
        <v>9.08</v>
      </c>
      <c r="M56" s="1">
        <v>17.79</v>
      </c>
      <c r="N56" s="1">
        <v>0.81</v>
      </c>
      <c r="O56" s="1">
        <v>2.06</v>
      </c>
      <c r="P56" s="1">
        <v>1.8</v>
      </c>
      <c r="Q56" s="1">
        <v>2.54</v>
      </c>
      <c r="R56" s="1"/>
      <c r="S56" s="15">
        <f t="shared" si="94"/>
        <v>96.021900000000002</v>
      </c>
      <c r="T56" s="16"/>
      <c r="U56" s="1"/>
      <c r="V56" s="1">
        <v>0.51231300000000002</v>
      </c>
      <c r="AF56" s="19">
        <f t="shared" si="95"/>
        <v>0.57907209800576009</v>
      </c>
      <c r="AG56" s="20">
        <f t="shared" si="96"/>
        <v>43403.8</v>
      </c>
      <c r="AH56" s="20">
        <f t="shared" si="97"/>
        <v>17102.12</v>
      </c>
      <c r="AI56" s="20">
        <f t="shared" si="98"/>
        <v>7855.2</v>
      </c>
      <c r="AJ56" s="19">
        <f t="shared" si="99"/>
        <v>2.87</v>
      </c>
      <c r="AK56" s="19">
        <f t="shared" si="100"/>
        <v>2.5432098765432096</v>
      </c>
      <c r="AL56" s="19">
        <f t="shared" si="101"/>
        <v>0.39320388349514562</v>
      </c>
      <c r="AM56" s="19">
        <f t="shared" si="102"/>
        <v>3.7610993657505283</v>
      </c>
      <c r="AN56" s="19">
        <f t="shared" si="103"/>
        <v>0.43551797040169132</v>
      </c>
      <c r="AO56" s="19">
        <f t="shared" si="104"/>
        <v>0.75310494992025079</v>
      </c>
      <c r="AP56" s="19">
        <f t="shared" si="105"/>
        <v>1.3278361802108642</v>
      </c>
      <c r="AQ56" s="19">
        <f t="shared" si="106"/>
        <v>0.13173106981384206</v>
      </c>
      <c r="AR56" s="19">
        <f t="shared" si="107"/>
        <v>0.75310494992025079</v>
      </c>
      <c r="AS56" s="20">
        <f t="shared" si="108"/>
        <v>1769.5343164912751</v>
      </c>
      <c r="AT56" s="20">
        <f t="shared" si="109"/>
        <v>2499.8083173131304</v>
      </c>
      <c r="AU56" s="19">
        <f t="shared" si="110"/>
        <v>5.5811433215930649E-2</v>
      </c>
      <c r="AV56" s="19">
        <f t="shared" si="111"/>
        <v>0.47139503463011079</v>
      </c>
      <c r="AX56" s="1">
        <v>97</v>
      </c>
      <c r="AY56" s="1"/>
      <c r="AZ56" s="1">
        <v>12100</v>
      </c>
      <c r="BA56" s="1">
        <v>58</v>
      </c>
      <c r="BB56" s="1">
        <v>41</v>
      </c>
      <c r="BC56" s="1">
        <v>303</v>
      </c>
      <c r="BD56" s="1">
        <v>99</v>
      </c>
      <c r="BE56" s="1">
        <v>53</v>
      </c>
      <c r="BF56" s="1"/>
      <c r="BG56" s="1">
        <v>44</v>
      </c>
      <c r="BH56" s="1">
        <v>101</v>
      </c>
      <c r="BI56" s="1">
        <v>38.1</v>
      </c>
      <c r="BJ56" s="1">
        <v>262</v>
      </c>
      <c r="BK56" s="1">
        <v>237</v>
      </c>
      <c r="BL56" s="1"/>
      <c r="BM56" s="1"/>
      <c r="BN56" s="1">
        <v>213</v>
      </c>
      <c r="BO56" s="1">
        <v>379</v>
      </c>
      <c r="BP56" s="1">
        <v>2300</v>
      </c>
      <c r="BQ56" s="1">
        <v>215</v>
      </c>
      <c r="BR56" s="1">
        <v>31.2</v>
      </c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>
        <v>26.1</v>
      </c>
      <c r="CD56" s="1">
        <v>6.1</v>
      </c>
      <c r="CE56" s="1">
        <v>7.8</v>
      </c>
      <c r="CG56" s="22">
        <f t="shared" si="131"/>
        <v>880.16528925619832</v>
      </c>
      <c r="CH56" s="22">
        <f t="shared" si="132"/>
        <v>596.85039370078744</v>
      </c>
      <c r="CI56" s="22"/>
      <c r="CJ56" s="22">
        <f t="shared" si="133"/>
        <v>447.91666666666669</v>
      </c>
      <c r="CK56" s="22">
        <f t="shared" si="134"/>
        <v>200</v>
      </c>
      <c r="CL56" s="22">
        <v>10.059100000000001</v>
      </c>
      <c r="CM56" s="22"/>
      <c r="CN56" s="22"/>
      <c r="CO56" s="22"/>
      <c r="CP56" s="22"/>
      <c r="CQ56" s="22"/>
      <c r="CR56" s="22"/>
      <c r="CS56" s="22"/>
      <c r="CT56" s="22"/>
      <c r="CU56" s="22">
        <f t="shared" si="135"/>
        <v>51.054852320675103</v>
      </c>
      <c r="CV56" s="22">
        <f t="shared" si="136"/>
        <v>56.8075117370892</v>
      </c>
      <c r="CW56" s="22">
        <f t="shared" si="137"/>
        <v>0.89873417721518989</v>
      </c>
      <c r="CX56" s="20">
        <f t="shared" si="126"/>
        <v>183.13839662447259</v>
      </c>
      <c r="CY56" s="22"/>
      <c r="CZ56" s="22">
        <f t="shared" si="138"/>
        <v>38.852459016393446</v>
      </c>
      <c r="DA56" s="22">
        <f t="shared" si="139"/>
        <v>3.108974358974359</v>
      </c>
      <c r="DB56" s="22">
        <f t="shared" si="127"/>
        <v>1.1054852320675106</v>
      </c>
      <c r="DC56" s="22">
        <f t="shared" si="146"/>
        <v>463.60153256704979</v>
      </c>
      <c r="DD56" s="22"/>
      <c r="DE56" s="22"/>
      <c r="DF56" s="22"/>
      <c r="DG56" s="19">
        <f t="shared" si="112"/>
        <v>6.2204724409448815</v>
      </c>
      <c r="DH56" s="20">
        <f t="shared" si="140"/>
        <v>80.291643192488252</v>
      </c>
      <c r="DI56" s="19">
        <f t="shared" si="141"/>
        <v>2.8739576576626225</v>
      </c>
      <c r="DJ56" s="22"/>
      <c r="DK56" s="22"/>
      <c r="DL56" s="22">
        <f t="shared" si="142"/>
        <v>4.4008264462809912</v>
      </c>
      <c r="DM56" s="22"/>
      <c r="DN56" s="22"/>
      <c r="DO56" s="22"/>
      <c r="DP56" s="20"/>
      <c r="DQ56" s="22"/>
      <c r="DR56" s="22"/>
      <c r="DS56" s="19"/>
      <c r="DT56" s="23"/>
      <c r="DU56" s="22">
        <f t="shared" si="113"/>
        <v>6.8766404199475062</v>
      </c>
      <c r="DV56" s="22"/>
      <c r="DW56" s="22">
        <f t="shared" si="130"/>
        <v>0.9260608442977627</v>
      </c>
      <c r="DX56" s="22">
        <f t="shared" si="114"/>
        <v>90.458015267175568</v>
      </c>
      <c r="DY56" s="22">
        <f t="shared" si="143"/>
        <v>9.9618320610687014</v>
      </c>
      <c r="DZ56" s="19"/>
      <c r="EA56" s="23">
        <f t="shared" si="144"/>
        <v>0.27230046948356806</v>
      </c>
      <c r="EB56" s="19">
        <f t="shared" si="145"/>
        <v>0.11012658227848102</v>
      </c>
      <c r="EC56" s="19"/>
      <c r="ED56" s="19"/>
      <c r="EE56" s="19">
        <f t="shared" si="115"/>
        <v>38.439147736089367</v>
      </c>
      <c r="EF56" s="19">
        <f t="shared" si="116"/>
        <v>7.539946616344813</v>
      </c>
      <c r="EG56" s="19">
        <f t="shared" si="117"/>
        <v>4.9259595987998575</v>
      </c>
      <c r="EH56" s="19">
        <f t="shared" si="118"/>
        <v>16.019158129551695</v>
      </c>
      <c r="EI56" s="19">
        <f t="shared" si="119"/>
        <v>0.2291143999441794</v>
      </c>
      <c r="EJ56" s="19">
        <f t="shared" si="120"/>
        <v>9.4561761431506763</v>
      </c>
      <c r="EK56" s="19">
        <f t="shared" si="121"/>
        <v>18.527023522758871</v>
      </c>
      <c r="EL56" s="19">
        <f t="shared" si="122"/>
        <v>0.84355756343084232</v>
      </c>
      <c r="EM56" s="19">
        <f t="shared" si="123"/>
        <v>2.1453439267500434</v>
      </c>
      <c r="EN56" s="19">
        <f t="shared" si="124"/>
        <v>1.8745723631796496</v>
      </c>
      <c r="EO56" s="19">
        <f t="shared" si="125"/>
        <v>100</v>
      </c>
    </row>
    <row r="57" spans="1:145" s="18" customFormat="1" ht="14.5" customHeight="1">
      <c r="A57" s="1" t="s">
        <v>231</v>
      </c>
      <c r="B57" s="1">
        <v>3</v>
      </c>
      <c r="C57" s="12" t="s">
        <v>242</v>
      </c>
      <c r="D57" s="1" t="s">
        <v>241</v>
      </c>
      <c r="E57" s="12" t="s">
        <v>243</v>
      </c>
      <c r="F57" s="45" t="s">
        <v>240</v>
      </c>
      <c r="G57" s="15">
        <v>38.9</v>
      </c>
      <c r="H57" s="15">
        <v>6.58</v>
      </c>
      <c r="I57" s="15">
        <v>5.75</v>
      </c>
      <c r="J57" s="15">
        <v>15.68</v>
      </c>
      <c r="K57" s="15">
        <v>0.26</v>
      </c>
      <c r="L57" s="15">
        <v>14.6</v>
      </c>
      <c r="M57" s="15">
        <v>7.17</v>
      </c>
      <c r="N57" s="15">
        <v>0.19</v>
      </c>
      <c r="O57" s="15">
        <v>1.3</v>
      </c>
      <c r="P57" s="15">
        <v>2.09</v>
      </c>
      <c r="Q57" s="15">
        <v>7.4900000000000091</v>
      </c>
      <c r="R57" s="15"/>
      <c r="S57" s="15">
        <f t="shared" si="94"/>
        <v>92.52</v>
      </c>
      <c r="T57" s="16"/>
      <c r="U57" s="37"/>
      <c r="V57" s="37"/>
      <c r="AF57" s="19">
        <f t="shared" si="95"/>
        <v>0.6845406591682125</v>
      </c>
      <c r="AG57" s="20">
        <f t="shared" si="96"/>
        <v>39447.1</v>
      </c>
      <c r="AH57" s="20">
        <f t="shared" si="97"/>
        <v>10792.6</v>
      </c>
      <c r="AI57" s="20">
        <f t="shared" si="98"/>
        <v>9120.76</v>
      </c>
      <c r="AJ57" s="19">
        <f t="shared" si="99"/>
        <v>1.49</v>
      </c>
      <c r="AK57" s="19">
        <f t="shared" si="100"/>
        <v>6.8421052631578947</v>
      </c>
      <c r="AL57" s="19">
        <f t="shared" si="101"/>
        <v>0.14615384615384616</v>
      </c>
      <c r="AM57" s="19">
        <f t="shared" si="102"/>
        <v>1.2469565217391305</v>
      </c>
      <c r="AN57" s="19">
        <f t="shared" si="103"/>
        <v>0.22608695652173913</v>
      </c>
      <c r="AO57" s="19">
        <f t="shared" si="104"/>
        <v>0.29906959740543959</v>
      </c>
      <c r="AP57" s="19">
        <f t="shared" si="105"/>
        <v>3.3437033007548753</v>
      </c>
      <c r="AQ57" s="19">
        <f t="shared" si="106"/>
        <v>0.38968391067660985</v>
      </c>
      <c r="AR57" s="19">
        <f t="shared" si="107"/>
        <v>0.29906959740543959</v>
      </c>
      <c r="AS57" s="20">
        <f t="shared" si="108"/>
        <v>2208.3946163775186</v>
      </c>
      <c r="AT57" s="20">
        <f t="shared" si="109"/>
        <v>1673.2369473417834</v>
      </c>
      <c r="AU57" s="19">
        <f t="shared" si="110"/>
        <v>3.3419023136246791E-2</v>
      </c>
      <c r="AV57" s="19">
        <f t="shared" si="111"/>
        <v>0.24471152958552569</v>
      </c>
      <c r="AX57" s="16">
        <v>170.5</v>
      </c>
      <c r="AY57" s="16">
        <v>1825</v>
      </c>
      <c r="AZ57" s="16">
        <v>4480</v>
      </c>
      <c r="BA57" s="1">
        <v>1.8</v>
      </c>
      <c r="BB57" s="16">
        <v>28</v>
      </c>
      <c r="BC57" s="16">
        <v>235</v>
      </c>
      <c r="BD57" s="16">
        <v>220</v>
      </c>
      <c r="BF57" s="16">
        <v>180</v>
      </c>
      <c r="BG57" s="16">
        <v>125</v>
      </c>
      <c r="BH57" s="16">
        <v>104</v>
      </c>
      <c r="BI57" s="16">
        <v>29.2</v>
      </c>
      <c r="BJ57" s="16">
        <v>687</v>
      </c>
      <c r="BK57" s="16">
        <v>248</v>
      </c>
      <c r="BL57" s="1">
        <v>16.2</v>
      </c>
      <c r="BM57" s="1">
        <v>12.7</v>
      </c>
      <c r="BN57" s="1">
        <v>235</v>
      </c>
      <c r="BO57" s="1">
        <v>444</v>
      </c>
      <c r="BP57" s="1">
        <v>47.6</v>
      </c>
      <c r="BQ57" s="1">
        <v>169</v>
      </c>
      <c r="BR57" s="1">
        <v>23</v>
      </c>
      <c r="BS57" s="1">
        <v>5.57</v>
      </c>
      <c r="BT57" s="1">
        <v>13.8</v>
      </c>
      <c r="BU57" s="1">
        <v>1.63</v>
      </c>
      <c r="BV57" s="1">
        <v>7.68</v>
      </c>
      <c r="BW57" s="1">
        <v>1.17</v>
      </c>
      <c r="BX57" s="1">
        <v>2.65</v>
      </c>
      <c r="BY57" s="1">
        <v>0.33</v>
      </c>
      <c r="BZ57" s="1">
        <v>1.86</v>
      </c>
      <c r="CA57" s="1">
        <v>0.21</v>
      </c>
      <c r="CB57" s="1">
        <v>19</v>
      </c>
      <c r="CC57" s="1">
        <v>22.7</v>
      </c>
      <c r="CD57" s="1">
        <v>4.8899999999999997</v>
      </c>
      <c r="CE57" s="1">
        <v>16.3</v>
      </c>
      <c r="CG57" s="22">
        <f t="shared" si="131"/>
        <v>971.07438016528931</v>
      </c>
      <c r="CH57" s="22">
        <f t="shared" si="132"/>
        <v>699.2125984251968</v>
      </c>
      <c r="CI57" s="22">
        <f t="shared" ref="CI57:CI76" si="147">BP57/0.0963</f>
        <v>494.28868120456906</v>
      </c>
      <c r="CJ57" s="22">
        <f t="shared" si="133"/>
        <v>352.08333333333337</v>
      </c>
      <c r="CK57" s="22">
        <f t="shared" si="134"/>
        <v>147.43589743589743</v>
      </c>
      <c r="CL57" s="22">
        <v>6.0590999999999999</v>
      </c>
      <c r="CM57" s="22">
        <f t="shared" ref="CM57:CM83" si="148">BT57/0.212</f>
        <v>65.094339622641513</v>
      </c>
      <c r="CN57" s="22">
        <f t="shared" ref="CN57:CN76" si="149">BU57/0.0376</f>
        <v>43.351063829787229</v>
      </c>
      <c r="CO57" s="22">
        <f t="shared" ref="CO57:CO83" si="150">BV57/0.259</f>
        <v>29.65250965250965</v>
      </c>
      <c r="CP57" s="22">
        <f t="shared" ref="CP57:CP83" si="151">BW57/0.0585</f>
        <v>19.999999999999996</v>
      </c>
      <c r="CQ57" s="22">
        <f t="shared" ref="CQ57:CQ83" si="152">BX57/0.163</f>
        <v>16.257668711656439</v>
      </c>
      <c r="CR57" s="22">
        <f t="shared" ref="CR57:CR76" si="153">BY57/0.0256</f>
        <v>12.890625</v>
      </c>
      <c r="CS57" s="22">
        <f t="shared" ref="CS57:CS83" si="154">BZ57/0.166</f>
        <v>11.204819277108435</v>
      </c>
      <c r="CT57" s="22">
        <f t="shared" ref="CT57:CT76" si="155">CA57/0.025</f>
        <v>8.3999999999999986</v>
      </c>
      <c r="CU57" s="22">
        <f t="shared" si="135"/>
        <v>18.06451612903226</v>
      </c>
      <c r="CV57" s="22">
        <f t="shared" si="136"/>
        <v>19.063829787234042</v>
      </c>
      <c r="CW57" s="22">
        <f t="shared" si="137"/>
        <v>0.94758064516129037</v>
      </c>
      <c r="CX57" s="20">
        <f t="shared" si="126"/>
        <v>159.0608870967742</v>
      </c>
      <c r="CY57" s="22">
        <f t="shared" ref="CY57:CY76" si="156">BO57/CB57</f>
        <v>23.368421052631579</v>
      </c>
      <c r="CZ57" s="22">
        <f t="shared" si="138"/>
        <v>50.715746421267895</v>
      </c>
      <c r="DA57" s="22">
        <f t="shared" si="139"/>
        <v>7.4130434782608692</v>
      </c>
      <c r="DB57" s="22">
        <f t="shared" si="127"/>
        <v>2.7701612903225805</v>
      </c>
      <c r="DC57" s="22">
        <f t="shared" si="146"/>
        <v>197.3568281938326</v>
      </c>
      <c r="DD57" s="22">
        <f t="shared" ref="DD57:DD76" si="157">CC57/BM57</f>
        <v>1.7874015748031495</v>
      </c>
      <c r="DE57" s="22">
        <f t="shared" ref="DE57:DE76" si="158">BM57/BZ57</f>
        <v>6.8279569892473111</v>
      </c>
      <c r="DF57" s="22">
        <f t="shared" ref="DF57:DF76" si="159">CC57/BZ57</f>
        <v>12.204301075268816</v>
      </c>
      <c r="DG57" s="19">
        <f t="shared" si="112"/>
        <v>8.493150684931507</v>
      </c>
      <c r="DH57" s="20">
        <f t="shared" si="140"/>
        <v>45.925957446808511</v>
      </c>
      <c r="DI57" s="19">
        <f t="shared" si="141"/>
        <v>4.2282058438774532</v>
      </c>
      <c r="DJ57" s="22">
        <f t="shared" ref="DJ57:DJ76" si="160">BN57/CA57</f>
        <v>1119.047619047619</v>
      </c>
      <c r="DK57" s="22">
        <f t="shared" ref="DK57:DK76" si="161">CG57/CT57</f>
        <v>115.60409287682018</v>
      </c>
      <c r="DL57" s="22">
        <f t="shared" si="142"/>
        <v>6.5864175350341361</v>
      </c>
      <c r="DM57" s="22">
        <f t="shared" ref="DM57:DM83" si="162">BN57/BZ57</f>
        <v>126.34408602150538</v>
      </c>
      <c r="DN57" s="22">
        <f t="shared" ref="DN57:DN83" si="163">BL57/BQ57</f>
        <v>9.5857988165680474E-2</v>
      </c>
      <c r="DO57" s="22">
        <f t="shared" ref="DO57:DO83" si="164">BR57/BZ57</f>
        <v>12.365591397849462</v>
      </c>
      <c r="DP57" s="20">
        <f t="shared" ref="DP57:DP78" si="165">AY57/BZ57</f>
        <v>981.18279569892468</v>
      </c>
      <c r="DQ57" s="22">
        <f t="shared" ref="DQ57:DQ83" si="166">AY57/BQ57</f>
        <v>10.798816568047338</v>
      </c>
      <c r="DR57" s="22">
        <f t="shared" ref="DR57:DR83" si="167">AY57/(((BR57/0.195)*(BT57/0.259))^0.5)</f>
        <v>23.021127773423753</v>
      </c>
      <c r="DS57" s="19">
        <f t="shared" ref="DS57:DS83" si="168">(BS57/0.074)/(((BR57/0.195)*(BT57/0.259))^0.5)</f>
        <v>0.94948301886686648</v>
      </c>
      <c r="DT57" s="23">
        <f t="shared" ref="DT57:DT83" si="169">1/AY57</f>
        <v>5.4794520547945202E-4</v>
      </c>
      <c r="DU57" s="22">
        <f t="shared" si="113"/>
        <v>23.527397260273972</v>
      </c>
      <c r="DV57" s="22">
        <f t="shared" ref="DV57:DV76" si="170">BK57/BM57</f>
        <v>19.527559055118111</v>
      </c>
      <c r="DW57" s="22">
        <f t="shared" si="130"/>
        <v>3.5646969004424101E-2</v>
      </c>
      <c r="DX57" s="22">
        <f t="shared" si="114"/>
        <v>36.098981077147016</v>
      </c>
      <c r="DY57" s="22">
        <f t="shared" si="143"/>
        <v>3.3042212518195049</v>
      </c>
      <c r="DZ57" s="19">
        <f t="shared" ref="DZ57:DZ83" si="171">EK57*100/AY57</f>
        <v>0.42463976689231209</v>
      </c>
      <c r="EA57" s="23">
        <f t="shared" si="144"/>
        <v>7.6595744680851069E-3</v>
      </c>
      <c r="EB57" s="19">
        <f t="shared" si="145"/>
        <v>9.153225806451612E-2</v>
      </c>
      <c r="EC57" s="19">
        <f t="shared" ref="EC57:EC76" si="172">(CB57/0.144)/(CH57*CI57)^(1/2)</f>
        <v>0.22443787786326203</v>
      </c>
      <c r="ED57" s="19"/>
      <c r="EE57" s="19">
        <f t="shared" si="115"/>
        <v>42.044963251188932</v>
      </c>
      <c r="EF57" s="19">
        <f t="shared" si="116"/>
        <v>7.1119757890185911</v>
      </c>
      <c r="EG57" s="19">
        <f t="shared" si="117"/>
        <v>6.2148724600086469</v>
      </c>
      <c r="EH57" s="19">
        <f t="shared" si="118"/>
        <v>16.947686986597493</v>
      </c>
      <c r="EI57" s="19">
        <f t="shared" si="119"/>
        <v>0.28102031993082577</v>
      </c>
      <c r="EJ57" s="19">
        <f t="shared" si="120"/>
        <v>15.780371811500217</v>
      </c>
      <c r="EK57" s="19">
        <f t="shared" si="121"/>
        <v>7.7496757457846952</v>
      </c>
      <c r="EL57" s="19">
        <f t="shared" si="122"/>
        <v>0.2053610030263727</v>
      </c>
      <c r="EM57" s="19">
        <f t="shared" si="123"/>
        <v>1.405101599654129</v>
      </c>
      <c r="EN57" s="19">
        <f t="shared" si="124"/>
        <v>2.2589710332900994</v>
      </c>
      <c r="EO57" s="19">
        <f t="shared" si="125"/>
        <v>100.00000000000001</v>
      </c>
    </row>
    <row r="58" spans="1:145" s="18" customFormat="1" ht="14.5" customHeight="1">
      <c r="A58" s="1" t="s">
        <v>231</v>
      </c>
      <c r="B58" s="1">
        <v>3</v>
      </c>
      <c r="C58" s="12" t="s">
        <v>242</v>
      </c>
      <c r="D58" s="1" t="s">
        <v>241</v>
      </c>
      <c r="E58" s="12" t="s">
        <v>243</v>
      </c>
      <c r="F58" s="45" t="s">
        <v>240</v>
      </c>
      <c r="G58" s="15">
        <v>38.1</v>
      </c>
      <c r="H58" s="15">
        <v>4.88</v>
      </c>
      <c r="I58" s="15">
        <v>5.61</v>
      </c>
      <c r="J58" s="15">
        <v>12.91</v>
      </c>
      <c r="K58" s="15">
        <v>0.24</v>
      </c>
      <c r="L58" s="15">
        <v>11.1</v>
      </c>
      <c r="M58" s="15">
        <v>11.4</v>
      </c>
      <c r="N58" s="15">
        <v>0.22</v>
      </c>
      <c r="O58" s="15">
        <v>4.33</v>
      </c>
      <c r="P58" s="15">
        <v>2.65</v>
      </c>
      <c r="Q58" s="15">
        <v>8.5799999999999983</v>
      </c>
      <c r="R58" s="15"/>
      <c r="S58" s="15">
        <f t="shared" si="94"/>
        <v>91.440000000000012</v>
      </c>
      <c r="T58" s="16"/>
      <c r="U58" s="37"/>
      <c r="V58" s="37"/>
      <c r="AF58" s="19">
        <f t="shared" si="95"/>
        <v>0.66708396931215086</v>
      </c>
      <c r="AG58" s="20">
        <f t="shared" si="96"/>
        <v>29255.599999999999</v>
      </c>
      <c r="AH58" s="20">
        <f t="shared" si="97"/>
        <v>35947.660000000003</v>
      </c>
      <c r="AI58" s="20">
        <f t="shared" si="98"/>
        <v>11564.6</v>
      </c>
      <c r="AJ58" s="19">
        <f t="shared" si="99"/>
        <v>4.55</v>
      </c>
      <c r="AK58" s="19">
        <f t="shared" si="100"/>
        <v>19.681818181818183</v>
      </c>
      <c r="AL58" s="19">
        <f t="shared" si="101"/>
        <v>5.0808314087759814E-2</v>
      </c>
      <c r="AM58" s="19">
        <f t="shared" si="102"/>
        <v>2.0320855614973263</v>
      </c>
      <c r="AN58" s="19">
        <f t="shared" si="103"/>
        <v>0.77183600713012479</v>
      </c>
      <c r="AO58" s="19">
        <f t="shared" si="104"/>
        <v>0.89992989024978332</v>
      </c>
      <c r="AP58" s="19">
        <f t="shared" si="105"/>
        <v>1.1111976731014472</v>
      </c>
      <c r="AQ58" s="19">
        <f t="shared" si="106"/>
        <v>0.21765158035081453</v>
      </c>
      <c r="AR58" s="19">
        <f t="shared" si="107"/>
        <v>0.89992989024978332</v>
      </c>
      <c r="AS58" s="20">
        <f t="shared" si="108"/>
        <v>1867.9569324454253</v>
      </c>
      <c r="AT58" s="20">
        <f t="shared" si="109"/>
        <v>1996.4744379551985</v>
      </c>
      <c r="AU58" s="19">
        <f t="shared" si="110"/>
        <v>0.11364829396325458</v>
      </c>
      <c r="AV58" s="19">
        <f t="shared" si="111"/>
        <v>0.83541825145421988</v>
      </c>
      <c r="AX58" s="16">
        <v>229</v>
      </c>
      <c r="AY58" s="16">
        <v>1820</v>
      </c>
      <c r="AZ58" s="16">
        <v>4740</v>
      </c>
      <c r="BA58" s="1">
        <v>1.81</v>
      </c>
      <c r="BB58" s="16">
        <v>28</v>
      </c>
      <c r="BC58" s="16">
        <v>247</v>
      </c>
      <c r="BD58" s="16">
        <v>160</v>
      </c>
      <c r="BF58" s="16">
        <v>124</v>
      </c>
      <c r="BG58" s="16">
        <v>154</v>
      </c>
      <c r="BH58" s="16">
        <v>108</v>
      </c>
      <c r="BI58" s="16">
        <v>28.8</v>
      </c>
      <c r="BJ58" s="16">
        <v>813</v>
      </c>
      <c r="BK58" s="16">
        <v>231</v>
      </c>
      <c r="BL58" s="1">
        <v>18.899999999999999</v>
      </c>
      <c r="BM58" s="1">
        <v>9.6</v>
      </c>
      <c r="BN58" s="1">
        <v>187</v>
      </c>
      <c r="BO58" s="1">
        <v>344</v>
      </c>
      <c r="BP58" s="1">
        <v>35.9</v>
      </c>
      <c r="BQ58" s="1">
        <v>126</v>
      </c>
      <c r="BR58" s="1">
        <v>18.100000000000001</v>
      </c>
      <c r="BS58" s="1">
        <v>4.51</v>
      </c>
      <c r="BT58" s="1">
        <v>11.7</v>
      </c>
      <c r="BU58" s="1">
        <v>1.51</v>
      </c>
      <c r="BV58" s="1">
        <v>6.71</v>
      </c>
      <c r="BW58" s="1">
        <v>1.1599999999999999</v>
      </c>
      <c r="BX58" s="1">
        <v>2.69</v>
      </c>
      <c r="BY58" s="1">
        <v>0.36</v>
      </c>
      <c r="BZ58" s="1">
        <v>1.92</v>
      </c>
      <c r="CA58" s="1">
        <v>0.24</v>
      </c>
      <c r="CB58" s="1">
        <v>23</v>
      </c>
      <c r="CC58" s="1">
        <v>17.899999999999999</v>
      </c>
      <c r="CD58" s="1">
        <v>5.45</v>
      </c>
      <c r="CE58" s="1">
        <v>13.5</v>
      </c>
      <c r="CG58" s="22">
        <f t="shared" si="131"/>
        <v>772.72727272727275</v>
      </c>
      <c r="CH58" s="22">
        <f t="shared" si="132"/>
        <v>541.73228346456688</v>
      </c>
      <c r="CI58" s="22">
        <f t="shared" si="147"/>
        <v>372.79335410176532</v>
      </c>
      <c r="CJ58" s="22">
        <f t="shared" si="133"/>
        <v>262.5</v>
      </c>
      <c r="CK58" s="22">
        <f t="shared" si="134"/>
        <v>116.02564102564104</v>
      </c>
      <c r="CL58" s="22">
        <v>7.0590999999999999</v>
      </c>
      <c r="CM58" s="22">
        <f t="shared" si="148"/>
        <v>55.188679245283019</v>
      </c>
      <c r="CN58" s="22">
        <f t="shared" si="149"/>
        <v>40.159574468085104</v>
      </c>
      <c r="CO58" s="22">
        <f t="shared" si="150"/>
        <v>25.907335907335906</v>
      </c>
      <c r="CP58" s="22">
        <f t="shared" si="151"/>
        <v>19.829059829059826</v>
      </c>
      <c r="CQ58" s="22">
        <f t="shared" si="152"/>
        <v>16.503067484662576</v>
      </c>
      <c r="CR58" s="22">
        <f t="shared" si="153"/>
        <v>14.062499999999998</v>
      </c>
      <c r="CS58" s="22">
        <f t="shared" si="154"/>
        <v>11.566265060240962</v>
      </c>
      <c r="CT58" s="22">
        <f t="shared" si="155"/>
        <v>9.6</v>
      </c>
      <c r="CU58" s="22">
        <f t="shared" si="135"/>
        <v>20.519480519480521</v>
      </c>
      <c r="CV58" s="22">
        <f t="shared" si="136"/>
        <v>25.347593582887701</v>
      </c>
      <c r="CW58" s="22">
        <f t="shared" si="137"/>
        <v>0.80952380952380953</v>
      </c>
      <c r="CX58" s="20">
        <f t="shared" si="126"/>
        <v>126.64761904761905</v>
      </c>
      <c r="CY58" s="22">
        <f t="shared" si="156"/>
        <v>14.956521739130435</v>
      </c>
      <c r="CZ58" s="22">
        <f t="shared" si="138"/>
        <v>42.38532110091743</v>
      </c>
      <c r="DA58" s="22">
        <f t="shared" si="139"/>
        <v>12.651933701657457</v>
      </c>
      <c r="DB58" s="22">
        <f t="shared" si="127"/>
        <v>3.5194805194805197</v>
      </c>
      <c r="DC58" s="22">
        <f t="shared" si="146"/>
        <v>264.80446927374305</v>
      </c>
      <c r="DD58" s="22">
        <f t="shared" si="157"/>
        <v>1.8645833333333333</v>
      </c>
      <c r="DE58" s="22">
        <f t="shared" si="158"/>
        <v>5</v>
      </c>
      <c r="DF58" s="22">
        <f t="shared" si="159"/>
        <v>9.3229166666666661</v>
      </c>
      <c r="DG58" s="19">
        <f t="shared" si="112"/>
        <v>8.0208333333333339</v>
      </c>
      <c r="DH58" s="20">
        <f t="shared" si="140"/>
        <v>192.23347593582889</v>
      </c>
      <c r="DI58" s="19">
        <f t="shared" si="141"/>
        <v>2.0440914778843444</v>
      </c>
      <c r="DJ58" s="22">
        <f t="shared" si="160"/>
        <v>779.16666666666674</v>
      </c>
      <c r="DK58" s="22">
        <f t="shared" si="161"/>
        <v>80.492424242424249</v>
      </c>
      <c r="DL58" s="22">
        <f t="shared" si="142"/>
        <v>6.6599698643897538</v>
      </c>
      <c r="DM58" s="22">
        <f t="shared" si="162"/>
        <v>97.395833333333343</v>
      </c>
      <c r="DN58" s="22">
        <f t="shared" si="163"/>
        <v>0.15</v>
      </c>
      <c r="DO58" s="22">
        <f t="shared" si="164"/>
        <v>9.4270833333333339</v>
      </c>
      <c r="DP58" s="20">
        <f t="shared" si="165"/>
        <v>947.91666666666674</v>
      </c>
      <c r="DQ58" s="22">
        <f t="shared" si="166"/>
        <v>14.444444444444445</v>
      </c>
      <c r="DR58" s="22">
        <f t="shared" si="167"/>
        <v>28.106473435618149</v>
      </c>
      <c r="DS58" s="19">
        <f t="shared" si="168"/>
        <v>0.94119539051557655</v>
      </c>
      <c r="DT58" s="23">
        <f t="shared" si="169"/>
        <v>5.4945054945054945E-4</v>
      </c>
      <c r="DU58" s="22">
        <f t="shared" si="113"/>
        <v>28.229166666666664</v>
      </c>
      <c r="DV58" s="22">
        <f t="shared" si="170"/>
        <v>24.0625</v>
      </c>
      <c r="DW58" s="22">
        <f t="shared" si="130"/>
        <v>-0.14112077890997377</v>
      </c>
      <c r="DX58" s="22">
        <f t="shared" si="114"/>
        <v>28.41328413284133</v>
      </c>
      <c r="DY58" s="22">
        <f t="shared" si="143"/>
        <v>2.2017220172201721</v>
      </c>
      <c r="DZ58" s="19">
        <f t="shared" si="171"/>
        <v>0.68501052753021252</v>
      </c>
      <c r="EA58" s="23">
        <f t="shared" si="144"/>
        <v>9.6791443850267386E-3</v>
      </c>
      <c r="EB58" s="19">
        <f t="shared" si="145"/>
        <v>7.7489177489177483E-2</v>
      </c>
      <c r="EC58" s="19">
        <f t="shared" si="172"/>
        <v>0.35541757923996392</v>
      </c>
      <c r="ED58" s="19"/>
      <c r="EE58" s="19">
        <f t="shared" si="115"/>
        <v>41.666666666666664</v>
      </c>
      <c r="EF58" s="19">
        <f t="shared" si="116"/>
        <v>5.3368328958880129</v>
      </c>
      <c r="EG58" s="19">
        <f t="shared" si="117"/>
        <v>6.1351706036745401</v>
      </c>
      <c r="EH58" s="19">
        <f t="shared" si="118"/>
        <v>14.118547681539805</v>
      </c>
      <c r="EI58" s="19">
        <f t="shared" si="119"/>
        <v>0.26246719160104981</v>
      </c>
      <c r="EJ58" s="19">
        <f t="shared" si="120"/>
        <v>12.139107611548555</v>
      </c>
      <c r="EK58" s="19">
        <f t="shared" si="121"/>
        <v>12.467191601049867</v>
      </c>
      <c r="EL58" s="19">
        <f t="shared" si="122"/>
        <v>0.24059492563429569</v>
      </c>
      <c r="EM58" s="19">
        <f t="shared" si="123"/>
        <v>4.7353455818022745</v>
      </c>
      <c r="EN58" s="19">
        <f t="shared" si="124"/>
        <v>2.8980752405949253</v>
      </c>
      <c r="EO58" s="19">
        <f t="shared" si="125"/>
        <v>99.999999999999986</v>
      </c>
    </row>
    <row r="59" spans="1:145" s="18" customFormat="1" ht="14.5" customHeight="1">
      <c r="A59" s="1" t="s">
        <v>231</v>
      </c>
      <c r="B59" s="1">
        <v>3</v>
      </c>
      <c r="C59" s="12" t="s">
        <v>242</v>
      </c>
      <c r="D59" s="1" t="s">
        <v>241</v>
      </c>
      <c r="E59" s="12" t="s">
        <v>243</v>
      </c>
      <c r="F59" s="45" t="s">
        <v>240</v>
      </c>
      <c r="G59" s="15">
        <v>40.299999999999997</v>
      </c>
      <c r="H59" s="15">
        <v>6.94</v>
      </c>
      <c r="I59" s="15">
        <v>6.45</v>
      </c>
      <c r="J59" s="15">
        <v>16.8</v>
      </c>
      <c r="K59" s="15">
        <v>0.26</v>
      </c>
      <c r="L59" s="15">
        <v>11.05</v>
      </c>
      <c r="M59" s="15">
        <v>7.17</v>
      </c>
      <c r="N59" s="15">
        <v>0.36</v>
      </c>
      <c r="O59" s="15">
        <v>3.35</v>
      </c>
      <c r="P59" s="15">
        <v>2.2200000000000002</v>
      </c>
      <c r="Q59" s="15">
        <v>5.2700000000000102</v>
      </c>
      <c r="R59" s="15"/>
      <c r="S59" s="15">
        <f t="shared" si="94"/>
        <v>94.899999999999991</v>
      </c>
      <c r="T59" s="16"/>
      <c r="U59" s="37"/>
      <c r="V59" s="37"/>
      <c r="AF59" s="19">
        <f t="shared" si="95"/>
        <v>0.60518915111791927</v>
      </c>
      <c r="AG59" s="20">
        <f t="shared" si="96"/>
        <v>41605.300000000003</v>
      </c>
      <c r="AH59" s="20">
        <f t="shared" si="97"/>
        <v>27811.7</v>
      </c>
      <c r="AI59" s="20">
        <f t="shared" si="98"/>
        <v>9688.0800000000017</v>
      </c>
      <c r="AJ59" s="19">
        <f t="shared" si="99"/>
        <v>3.71</v>
      </c>
      <c r="AK59" s="19">
        <f t="shared" si="100"/>
        <v>9.3055555555555554</v>
      </c>
      <c r="AL59" s="19">
        <f t="shared" si="101"/>
        <v>0.10746268656716418</v>
      </c>
      <c r="AM59" s="19">
        <f t="shared" si="102"/>
        <v>1.1116279069767441</v>
      </c>
      <c r="AN59" s="19">
        <f t="shared" si="103"/>
        <v>0.51937984496124034</v>
      </c>
      <c r="AO59" s="19">
        <f t="shared" si="104"/>
        <v>0.65398184090965317</v>
      </c>
      <c r="AP59" s="19">
        <f t="shared" si="105"/>
        <v>1.5290944448993482</v>
      </c>
      <c r="AQ59" s="19">
        <f t="shared" si="106"/>
        <v>0.3738245913791825</v>
      </c>
      <c r="AR59" s="19">
        <f t="shared" si="107"/>
        <v>0.65398184090965317</v>
      </c>
      <c r="AS59" s="20">
        <f t="shared" si="108"/>
        <v>1942.9068656979723</v>
      </c>
      <c r="AT59" s="20">
        <f t="shared" si="109"/>
        <v>1452.8615395757977</v>
      </c>
      <c r="AU59" s="19">
        <f t="shared" si="110"/>
        <v>8.312655086848636E-2</v>
      </c>
      <c r="AV59" s="19">
        <f t="shared" si="111"/>
        <v>0.56216527592620025</v>
      </c>
      <c r="AX59" s="16">
        <v>205</v>
      </c>
      <c r="AY59" s="16">
        <v>2160</v>
      </c>
      <c r="AZ59" s="16">
        <v>4110</v>
      </c>
      <c r="BA59" s="1">
        <v>1.73</v>
      </c>
      <c r="BB59" s="16">
        <v>25</v>
      </c>
      <c r="BC59" s="16">
        <v>315</v>
      </c>
      <c r="BD59" s="16">
        <v>160</v>
      </c>
      <c r="BF59" s="16">
        <v>119</v>
      </c>
      <c r="BG59" s="16">
        <v>117</v>
      </c>
      <c r="BH59" s="16">
        <v>100</v>
      </c>
      <c r="BI59" s="16">
        <v>27.6</v>
      </c>
      <c r="BJ59" s="16">
        <v>780</v>
      </c>
      <c r="BK59" s="16">
        <v>226</v>
      </c>
      <c r="BL59" s="1">
        <v>17.899999999999999</v>
      </c>
      <c r="BM59" s="1">
        <v>10.5</v>
      </c>
      <c r="BN59" s="1">
        <v>188.5</v>
      </c>
      <c r="BO59" s="1">
        <v>344</v>
      </c>
      <c r="BP59" s="1">
        <v>36.6</v>
      </c>
      <c r="BQ59" s="1">
        <v>128.5</v>
      </c>
      <c r="BR59" s="1">
        <v>18.55</v>
      </c>
      <c r="BS59" s="1">
        <v>4.57</v>
      </c>
      <c r="BT59" s="1">
        <v>10.95</v>
      </c>
      <c r="BU59" s="1">
        <v>1.34</v>
      </c>
      <c r="BV59" s="1">
        <v>6.39</v>
      </c>
      <c r="BW59" s="1">
        <v>1.04</v>
      </c>
      <c r="BX59" s="1">
        <v>2.35</v>
      </c>
      <c r="BY59" s="1">
        <v>0.31</v>
      </c>
      <c r="BZ59" s="1">
        <v>1.82</v>
      </c>
      <c r="CA59" s="1">
        <v>0.25</v>
      </c>
      <c r="CB59" s="1">
        <v>20</v>
      </c>
      <c r="CC59" s="1">
        <v>18.25</v>
      </c>
      <c r="CD59" s="1">
        <v>5.19</v>
      </c>
      <c r="CE59" s="1">
        <v>12.7</v>
      </c>
      <c r="CG59" s="22">
        <f t="shared" si="131"/>
        <v>778.9256198347108</v>
      </c>
      <c r="CH59" s="22">
        <f t="shared" si="132"/>
        <v>541.73228346456688</v>
      </c>
      <c r="CI59" s="22">
        <f t="shared" si="147"/>
        <v>380.06230529595018</v>
      </c>
      <c r="CJ59" s="22">
        <f t="shared" si="133"/>
        <v>267.70833333333337</v>
      </c>
      <c r="CK59" s="22">
        <f t="shared" si="134"/>
        <v>118.91025641025641</v>
      </c>
      <c r="CL59" s="22">
        <v>8.0591000000000008</v>
      </c>
      <c r="CM59" s="22">
        <f t="shared" si="148"/>
        <v>51.65094339622641</v>
      </c>
      <c r="CN59" s="22">
        <f t="shared" si="149"/>
        <v>35.638297872340424</v>
      </c>
      <c r="CO59" s="22">
        <f t="shared" si="150"/>
        <v>24.671814671814669</v>
      </c>
      <c r="CP59" s="22">
        <f t="shared" si="151"/>
        <v>17.777777777777779</v>
      </c>
      <c r="CQ59" s="22">
        <f t="shared" si="152"/>
        <v>14.417177914110429</v>
      </c>
      <c r="CR59" s="22">
        <f t="shared" si="153"/>
        <v>12.109375</v>
      </c>
      <c r="CS59" s="22">
        <f t="shared" si="154"/>
        <v>10.963855421686747</v>
      </c>
      <c r="CT59" s="22">
        <f t="shared" si="155"/>
        <v>10</v>
      </c>
      <c r="CU59" s="22">
        <f t="shared" si="135"/>
        <v>18.185840707964601</v>
      </c>
      <c r="CV59" s="22">
        <f t="shared" si="136"/>
        <v>21.80371352785146</v>
      </c>
      <c r="CW59" s="22">
        <f t="shared" si="137"/>
        <v>0.83407079646017701</v>
      </c>
      <c r="CX59" s="20">
        <f t="shared" si="126"/>
        <v>184.09424778761064</v>
      </c>
      <c r="CY59" s="22">
        <f t="shared" si="156"/>
        <v>17.2</v>
      </c>
      <c r="CZ59" s="22">
        <f t="shared" si="138"/>
        <v>43.545279383429666</v>
      </c>
      <c r="DA59" s="22">
        <f t="shared" si="139"/>
        <v>11.05121293800539</v>
      </c>
      <c r="DB59" s="22">
        <f t="shared" si="127"/>
        <v>3.4513274336283186</v>
      </c>
      <c r="DC59" s="22">
        <f t="shared" si="146"/>
        <v>225.20547945205479</v>
      </c>
      <c r="DD59" s="22">
        <f t="shared" si="157"/>
        <v>1.7380952380952381</v>
      </c>
      <c r="DE59" s="22">
        <f t="shared" si="158"/>
        <v>5.7692307692307692</v>
      </c>
      <c r="DF59" s="22">
        <f t="shared" si="159"/>
        <v>10.027472527472527</v>
      </c>
      <c r="DG59" s="19">
        <f t="shared" si="112"/>
        <v>8.1884057971014492</v>
      </c>
      <c r="DH59" s="20">
        <f t="shared" si="140"/>
        <v>147.54217506631301</v>
      </c>
      <c r="DI59" s="19">
        <f t="shared" si="141"/>
        <v>2.329876514895961</v>
      </c>
      <c r="DJ59" s="22">
        <f t="shared" si="160"/>
        <v>754</v>
      </c>
      <c r="DK59" s="22">
        <f t="shared" si="161"/>
        <v>77.892561983471083</v>
      </c>
      <c r="DL59" s="22">
        <f t="shared" si="142"/>
        <v>6.5505335145129315</v>
      </c>
      <c r="DM59" s="22">
        <f t="shared" si="162"/>
        <v>103.57142857142857</v>
      </c>
      <c r="DN59" s="22">
        <f t="shared" si="163"/>
        <v>0.13929961089494161</v>
      </c>
      <c r="DO59" s="22">
        <f t="shared" si="164"/>
        <v>10.192307692307692</v>
      </c>
      <c r="DP59" s="20">
        <f t="shared" si="165"/>
        <v>1186.8131868131868</v>
      </c>
      <c r="DQ59" s="22">
        <f t="shared" si="166"/>
        <v>16.809338521400779</v>
      </c>
      <c r="DR59" s="22">
        <f t="shared" si="167"/>
        <v>34.059786578501459</v>
      </c>
      <c r="DS59" s="19">
        <f t="shared" si="168"/>
        <v>0.97380646060905707</v>
      </c>
      <c r="DT59" s="23">
        <f t="shared" si="169"/>
        <v>4.6296296296296298E-4</v>
      </c>
      <c r="DU59" s="22">
        <f t="shared" si="113"/>
        <v>28.260869565217391</v>
      </c>
      <c r="DV59" s="22">
        <f t="shared" si="170"/>
        <v>21.523809523809526</v>
      </c>
      <c r="DW59" s="22">
        <f t="shared" si="130"/>
        <v>-0.13307684251832086</v>
      </c>
      <c r="DX59" s="22">
        <f t="shared" si="114"/>
        <v>28.974358974358974</v>
      </c>
      <c r="DY59" s="22">
        <f t="shared" si="143"/>
        <v>2.3397435897435899</v>
      </c>
      <c r="DZ59" s="19">
        <f t="shared" si="171"/>
        <v>0.34978339772860323</v>
      </c>
      <c r="EA59" s="23">
        <f t="shared" si="144"/>
        <v>9.1777188328912469E-3</v>
      </c>
      <c r="EB59" s="19">
        <f t="shared" si="145"/>
        <v>8.0752212389380532E-2</v>
      </c>
      <c r="EC59" s="19">
        <f t="shared" si="172"/>
        <v>0.3060890164005971</v>
      </c>
      <c r="ED59" s="19"/>
      <c r="EE59" s="19">
        <f t="shared" si="115"/>
        <v>42.465753424657535</v>
      </c>
      <c r="EF59" s="19">
        <f t="shared" si="116"/>
        <v>7.312961011591149</v>
      </c>
      <c r="EG59" s="19">
        <f t="shared" si="117"/>
        <v>6.7966280295047428</v>
      </c>
      <c r="EH59" s="19">
        <f t="shared" si="118"/>
        <v>17.702845100105375</v>
      </c>
      <c r="EI59" s="19">
        <f t="shared" si="119"/>
        <v>0.27397260273972607</v>
      </c>
      <c r="EJ59" s="19">
        <f t="shared" si="120"/>
        <v>11.643835616438357</v>
      </c>
      <c r="EK59" s="19">
        <f t="shared" si="121"/>
        <v>7.5553213909378298</v>
      </c>
      <c r="EL59" s="19">
        <f t="shared" si="122"/>
        <v>0.37934668071654376</v>
      </c>
      <c r="EM59" s="19">
        <f t="shared" si="123"/>
        <v>3.5300316122233935</v>
      </c>
      <c r="EN59" s="19">
        <f t="shared" si="124"/>
        <v>2.3393045310853533</v>
      </c>
      <c r="EO59" s="19">
        <f t="shared" si="125"/>
        <v>100</v>
      </c>
    </row>
    <row r="60" spans="1:145" s="18" customFormat="1" ht="14.5" customHeight="1">
      <c r="A60" s="1" t="s">
        <v>231</v>
      </c>
      <c r="B60" s="1">
        <v>3</v>
      </c>
      <c r="C60" s="12" t="s">
        <v>242</v>
      </c>
      <c r="D60" s="1" t="s">
        <v>241</v>
      </c>
      <c r="E60" s="12" t="s">
        <v>243</v>
      </c>
      <c r="F60" s="45" t="s">
        <v>240</v>
      </c>
      <c r="G60" s="15">
        <v>30.2</v>
      </c>
      <c r="H60" s="15">
        <v>3.97</v>
      </c>
      <c r="I60" s="15">
        <v>5.41</v>
      </c>
      <c r="J60" s="15">
        <v>10.29</v>
      </c>
      <c r="K60" s="15">
        <v>0.23</v>
      </c>
      <c r="L60" s="15">
        <v>5.69</v>
      </c>
      <c r="M60" s="15">
        <v>21.4</v>
      </c>
      <c r="N60" s="15">
        <v>0.26</v>
      </c>
      <c r="O60" s="15">
        <v>4.88</v>
      </c>
      <c r="P60" s="15">
        <v>2.09</v>
      </c>
      <c r="Q60" s="15">
        <v>15.620000000000005</v>
      </c>
      <c r="R60" s="15"/>
      <c r="S60" s="15">
        <f t="shared" si="94"/>
        <v>84.42</v>
      </c>
      <c r="T60" s="16"/>
      <c r="U60" s="37"/>
      <c r="V60" s="37"/>
      <c r="AF60" s="19">
        <f t="shared" si="95"/>
        <v>0.56306740953813728</v>
      </c>
      <c r="AG60" s="20">
        <f t="shared" si="96"/>
        <v>23800.15</v>
      </c>
      <c r="AH60" s="20">
        <f t="shared" si="97"/>
        <v>40513.760000000002</v>
      </c>
      <c r="AI60" s="20">
        <f t="shared" si="98"/>
        <v>9120.76</v>
      </c>
      <c r="AJ60" s="19">
        <f t="shared" si="99"/>
        <v>5.14</v>
      </c>
      <c r="AK60" s="19">
        <f t="shared" si="100"/>
        <v>18.769230769230766</v>
      </c>
      <c r="AL60" s="19">
        <f t="shared" si="101"/>
        <v>5.3278688524590168E-2</v>
      </c>
      <c r="AM60" s="19">
        <f t="shared" si="102"/>
        <v>3.9556377079482439</v>
      </c>
      <c r="AN60" s="19">
        <f t="shared" si="103"/>
        <v>0.9020332717190388</v>
      </c>
      <c r="AO60" s="19">
        <f t="shared" si="104"/>
        <v>1.0554004457484447</v>
      </c>
      <c r="AP60" s="19">
        <f t="shared" si="105"/>
        <v>0.94750765363837131</v>
      </c>
      <c r="AQ60" s="19">
        <f t="shared" si="106"/>
        <v>0.1212530898757066</v>
      </c>
      <c r="AR60" s="19">
        <f t="shared" si="107"/>
        <v>1.0554004457484447</v>
      </c>
      <c r="AS60" s="20">
        <f t="shared" si="108"/>
        <v>1381.6286750383288</v>
      </c>
      <c r="AT60" s="20">
        <f t="shared" si="109"/>
        <v>3109.4864520396281</v>
      </c>
      <c r="AU60" s="19">
        <f t="shared" si="110"/>
        <v>0.16158940397350993</v>
      </c>
      <c r="AV60" s="19">
        <f t="shared" si="111"/>
        <v>0.97634089580120154</v>
      </c>
      <c r="AX60" s="16">
        <v>173</v>
      </c>
      <c r="AY60" s="16">
        <v>1805</v>
      </c>
      <c r="AZ60" s="16">
        <v>4860</v>
      </c>
      <c r="BA60" s="1">
        <v>1.83</v>
      </c>
      <c r="BB60" s="16">
        <v>24</v>
      </c>
      <c r="BC60" s="16">
        <v>256</v>
      </c>
      <c r="BD60" s="16">
        <v>250</v>
      </c>
      <c r="BF60" s="16">
        <v>167</v>
      </c>
      <c r="BG60" s="16">
        <v>123</v>
      </c>
      <c r="BH60" s="16">
        <v>99</v>
      </c>
      <c r="BI60" s="16">
        <v>30.7</v>
      </c>
      <c r="BJ60" s="16">
        <v>673</v>
      </c>
      <c r="BK60" s="16">
        <v>242</v>
      </c>
      <c r="BL60" s="1">
        <v>14.4</v>
      </c>
      <c r="BM60" s="1">
        <v>12.6</v>
      </c>
      <c r="BN60" s="1">
        <v>242</v>
      </c>
      <c r="BO60" s="1">
        <v>486</v>
      </c>
      <c r="BP60" s="1">
        <v>54.6</v>
      </c>
      <c r="BQ60" s="1">
        <v>185.5</v>
      </c>
      <c r="BR60" s="1">
        <v>27.3</v>
      </c>
      <c r="BS60" s="1">
        <v>6.53</v>
      </c>
      <c r="BT60" s="1">
        <v>14.8</v>
      </c>
      <c r="BU60" s="1">
        <v>1.69</v>
      </c>
      <c r="BV60" s="1">
        <v>7.96</v>
      </c>
      <c r="BW60" s="1">
        <v>1.17</v>
      </c>
      <c r="BX60" s="1">
        <v>2.62</v>
      </c>
      <c r="BY60" s="1">
        <v>0.31</v>
      </c>
      <c r="BZ60" s="1">
        <v>1.91</v>
      </c>
      <c r="CA60" s="1">
        <v>0.26</v>
      </c>
      <c r="CB60" s="1">
        <v>18</v>
      </c>
      <c r="CC60" s="1">
        <v>27.8</v>
      </c>
      <c r="CD60" s="1">
        <v>4.9400000000000004</v>
      </c>
      <c r="CE60" s="1">
        <v>17.2</v>
      </c>
      <c r="CG60" s="22"/>
      <c r="CH60" s="22">
        <f t="shared" si="132"/>
        <v>765.35433070866145</v>
      </c>
      <c r="CI60" s="22">
        <f t="shared" si="147"/>
        <v>566.97819314641742</v>
      </c>
      <c r="CJ60" s="22">
        <f t="shared" si="133"/>
        <v>386.45833333333337</v>
      </c>
      <c r="CK60" s="22">
        <f t="shared" si="134"/>
        <v>175</v>
      </c>
      <c r="CL60" s="22">
        <v>9.0591000000000008</v>
      </c>
      <c r="CM60" s="22">
        <f t="shared" si="148"/>
        <v>69.811320754716988</v>
      </c>
      <c r="CN60" s="22">
        <f t="shared" si="149"/>
        <v>44.946808510638292</v>
      </c>
      <c r="CO60" s="22">
        <f t="shared" si="150"/>
        <v>30.733590733590731</v>
      </c>
      <c r="CP60" s="22">
        <f t="shared" si="151"/>
        <v>19.999999999999996</v>
      </c>
      <c r="CQ60" s="22">
        <f t="shared" si="152"/>
        <v>16.073619631901842</v>
      </c>
      <c r="CR60" s="22">
        <f t="shared" si="153"/>
        <v>12.109375</v>
      </c>
      <c r="CS60" s="22">
        <f t="shared" si="154"/>
        <v>11.506024096385541</v>
      </c>
      <c r="CT60" s="22">
        <f t="shared" si="155"/>
        <v>10.4</v>
      </c>
      <c r="CU60" s="22">
        <f t="shared" si="135"/>
        <v>20.082644628099175</v>
      </c>
      <c r="CV60" s="22">
        <f t="shared" si="136"/>
        <v>20.082644628099175</v>
      </c>
      <c r="CW60" s="22">
        <f t="shared" si="137"/>
        <v>1</v>
      </c>
      <c r="CX60" s="20">
        <f t="shared" si="126"/>
        <v>98.347727272727283</v>
      </c>
      <c r="CY60" s="22">
        <f t="shared" si="156"/>
        <v>27</v>
      </c>
      <c r="CZ60" s="22">
        <f t="shared" si="138"/>
        <v>48.987854251012145</v>
      </c>
      <c r="DA60" s="22">
        <f t="shared" si="139"/>
        <v>6.3369963369963367</v>
      </c>
      <c r="DB60" s="22">
        <f t="shared" si="127"/>
        <v>2.78099173553719</v>
      </c>
      <c r="DC60" s="22">
        <f t="shared" si="146"/>
        <v>174.82014388489208</v>
      </c>
      <c r="DD60" s="22">
        <f t="shared" si="157"/>
        <v>2.2063492063492065</v>
      </c>
      <c r="DE60" s="22">
        <f t="shared" si="158"/>
        <v>6.5968586387434556</v>
      </c>
      <c r="DF60" s="22">
        <f t="shared" si="159"/>
        <v>14.554973821989529</v>
      </c>
      <c r="DG60" s="19">
        <f t="shared" si="112"/>
        <v>7.8827361563517915</v>
      </c>
      <c r="DH60" s="20">
        <f t="shared" si="140"/>
        <v>167.41223140495867</v>
      </c>
      <c r="DI60" s="19">
        <f t="shared" si="141"/>
        <v>2.1187149328317485</v>
      </c>
      <c r="DJ60" s="22">
        <f t="shared" si="160"/>
        <v>930.76923076923072</v>
      </c>
      <c r="DK60" s="22">
        <f t="shared" si="161"/>
        <v>0</v>
      </c>
      <c r="DL60" s="22">
        <f t="shared" si="142"/>
        <v>0</v>
      </c>
      <c r="DM60" s="22">
        <f t="shared" si="162"/>
        <v>126.70157068062828</v>
      </c>
      <c r="DN60" s="22">
        <f t="shared" si="163"/>
        <v>7.7628032345013476E-2</v>
      </c>
      <c r="DO60" s="22">
        <f t="shared" si="164"/>
        <v>14.293193717277488</v>
      </c>
      <c r="DP60" s="20">
        <f t="shared" si="165"/>
        <v>945.0261780104712</v>
      </c>
      <c r="DQ60" s="22">
        <f t="shared" si="166"/>
        <v>9.7304582210242589</v>
      </c>
      <c r="DR60" s="22">
        <f t="shared" si="167"/>
        <v>20.1805134969356</v>
      </c>
      <c r="DS60" s="19">
        <f t="shared" si="168"/>
        <v>0.98658945223470462</v>
      </c>
      <c r="DT60" s="23">
        <f t="shared" si="169"/>
        <v>5.54016620498615E-4</v>
      </c>
      <c r="DU60" s="22">
        <f t="shared" si="113"/>
        <v>21.921824104234528</v>
      </c>
      <c r="DV60" s="22">
        <f t="shared" si="170"/>
        <v>19.206349206349206</v>
      </c>
      <c r="DW60" s="22">
        <f t="shared" si="130"/>
        <v>6.2193748109407032E-2</v>
      </c>
      <c r="DX60" s="22">
        <f t="shared" si="114"/>
        <v>35.958395245170877</v>
      </c>
      <c r="DY60" s="22">
        <f t="shared" si="143"/>
        <v>4.1307578008915309</v>
      </c>
      <c r="DZ60" s="19">
        <f t="shared" si="171"/>
        <v>1.4044012886366217</v>
      </c>
      <c r="EA60" s="23">
        <f t="shared" si="144"/>
        <v>7.5619834710743804E-3</v>
      </c>
      <c r="EB60" s="19">
        <f t="shared" si="145"/>
        <v>0.11487603305785124</v>
      </c>
      <c r="EC60" s="19">
        <f t="shared" si="172"/>
        <v>0.18975602020822388</v>
      </c>
      <c r="ED60" s="19"/>
      <c r="EE60" s="19">
        <f t="shared" si="115"/>
        <v>35.773513385453683</v>
      </c>
      <c r="EF60" s="19">
        <f t="shared" si="116"/>
        <v>4.7026770907367919</v>
      </c>
      <c r="EG60" s="19">
        <f t="shared" si="117"/>
        <v>6.4084340203743189</v>
      </c>
      <c r="EH60" s="19">
        <f t="shared" si="118"/>
        <v>12.189054726368159</v>
      </c>
      <c r="EI60" s="19">
        <f t="shared" si="119"/>
        <v>0.2724472873726605</v>
      </c>
      <c r="EJ60" s="19">
        <f t="shared" si="120"/>
        <v>6.7401089789149493</v>
      </c>
      <c r="EK60" s="19">
        <f t="shared" si="121"/>
        <v>25.349443259891022</v>
      </c>
      <c r="EL60" s="19">
        <f t="shared" si="122"/>
        <v>0.30798389007344229</v>
      </c>
      <c r="EM60" s="19">
        <f t="shared" si="123"/>
        <v>5.7806207059938401</v>
      </c>
      <c r="EN60" s="19">
        <f t="shared" si="124"/>
        <v>2.4757166548211322</v>
      </c>
      <c r="EO60" s="19">
        <f t="shared" si="125"/>
        <v>100</v>
      </c>
    </row>
    <row r="61" spans="1:145" s="18" customFormat="1" ht="14.5" customHeight="1">
      <c r="A61" s="1" t="s">
        <v>231</v>
      </c>
      <c r="B61" s="1">
        <v>3</v>
      </c>
      <c r="C61" s="12" t="s">
        <v>242</v>
      </c>
      <c r="D61" s="1" t="s">
        <v>241</v>
      </c>
      <c r="E61" s="12" t="s">
        <v>243</v>
      </c>
      <c r="F61" s="45" t="s">
        <v>240</v>
      </c>
      <c r="G61" s="15">
        <v>34.5</v>
      </c>
      <c r="H61" s="15">
        <v>5.35</v>
      </c>
      <c r="I61" s="15">
        <v>6.09</v>
      </c>
      <c r="J61" s="15">
        <v>12.36</v>
      </c>
      <c r="K61" s="15">
        <v>0.22</v>
      </c>
      <c r="L61" s="15">
        <v>6.79</v>
      </c>
      <c r="M61" s="15">
        <v>16.149999999999999</v>
      </c>
      <c r="N61" s="15">
        <v>0.25</v>
      </c>
      <c r="O61" s="15">
        <v>5.29</v>
      </c>
      <c r="P61" s="15">
        <v>2.4</v>
      </c>
      <c r="Q61" s="15">
        <v>9.33</v>
      </c>
      <c r="R61" s="15"/>
      <c r="S61" s="15">
        <f t="shared" si="94"/>
        <v>89.40000000000002</v>
      </c>
      <c r="T61" s="16"/>
      <c r="U61" s="37"/>
      <c r="V61" s="37"/>
      <c r="AF61" s="19">
        <f t="shared" si="95"/>
        <v>0.56145475812065282</v>
      </c>
      <c r="AG61" s="20">
        <f t="shared" si="96"/>
        <v>32073.249999999996</v>
      </c>
      <c r="AH61" s="20">
        <f t="shared" si="97"/>
        <v>43917.58</v>
      </c>
      <c r="AI61" s="20">
        <f t="shared" si="98"/>
        <v>10473.6</v>
      </c>
      <c r="AJ61" s="19">
        <f t="shared" si="99"/>
        <v>5.54</v>
      </c>
      <c r="AK61" s="19">
        <f t="shared" si="100"/>
        <v>21.16</v>
      </c>
      <c r="AL61" s="19">
        <f t="shared" si="101"/>
        <v>4.725897920604915E-2</v>
      </c>
      <c r="AM61" s="19">
        <f t="shared" si="102"/>
        <v>2.6518883415435139</v>
      </c>
      <c r="AN61" s="19">
        <f t="shared" si="103"/>
        <v>0.86863711001642041</v>
      </c>
      <c r="AO61" s="19">
        <f t="shared" si="104"/>
        <v>1.0077242841588936</v>
      </c>
      <c r="AP61" s="19">
        <f t="shared" si="105"/>
        <v>0.99233492307338733</v>
      </c>
      <c r="AQ61" s="19">
        <f t="shared" si="106"/>
        <v>0.17155108353568205</v>
      </c>
      <c r="AR61" s="19">
        <f t="shared" si="107"/>
        <v>1.0077242841588936</v>
      </c>
      <c r="AS61" s="20">
        <f t="shared" si="108"/>
        <v>1505.6738314135343</v>
      </c>
      <c r="AT61" s="20">
        <f t="shared" si="109"/>
        <v>2376.4997099662719</v>
      </c>
      <c r="AU61" s="19">
        <f t="shared" si="110"/>
        <v>0.15333333333333332</v>
      </c>
      <c r="AV61" s="19">
        <f t="shared" si="111"/>
        <v>0.94019362778422733</v>
      </c>
      <c r="AX61" s="16">
        <v>174</v>
      </c>
      <c r="AY61" s="16">
        <v>1860</v>
      </c>
      <c r="AZ61" s="16">
        <v>3980</v>
      </c>
      <c r="BA61" s="1">
        <v>1.91</v>
      </c>
      <c r="BB61" s="16">
        <v>28</v>
      </c>
      <c r="BC61" s="16">
        <v>236</v>
      </c>
      <c r="BD61" s="16">
        <v>300</v>
      </c>
      <c r="BF61" s="16">
        <v>225</v>
      </c>
      <c r="BG61" s="16">
        <v>158</v>
      </c>
      <c r="BH61" s="16">
        <v>109</v>
      </c>
      <c r="BI61" s="16">
        <v>29.8</v>
      </c>
      <c r="BJ61" s="16">
        <v>756</v>
      </c>
      <c r="BK61" s="16">
        <v>247</v>
      </c>
      <c r="BL61" s="1">
        <v>16.7</v>
      </c>
      <c r="BM61" s="1">
        <v>13.3</v>
      </c>
      <c r="BN61" s="1">
        <v>257</v>
      </c>
      <c r="BO61" s="1">
        <v>523</v>
      </c>
      <c r="BP61" s="1">
        <v>59.6</v>
      </c>
      <c r="BQ61" s="1">
        <v>203</v>
      </c>
      <c r="BR61" s="1">
        <v>27.6</v>
      </c>
      <c r="BS61" s="1">
        <v>6.75</v>
      </c>
      <c r="BT61" s="1">
        <v>15.25</v>
      </c>
      <c r="BU61" s="1">
        <v>1.66</v>
      </c>
      <c r="BV61" s="1">
        <v>8.09</v>
      </c>
      <c r="BW61" s="1">
        <v>1.19</v>
      </c>
      <c r="BX61" s="1">
        <v>2.95</v>
      </c>
      <c r="BY61" s="1">
        <v>0.32</v>
      </c>
      <c r="BZ61" s="1">
        <v>1.77</v>
      </c>
      <c r="CA61" s="1">
        <v>0.23</v>
      </c>
      <c r="CB61" s="1">
        <v>21</v>
      </c>
      <c r="CC61" s="1">
        <v>28.4</v>
      </c>
      <c r="CD61" s="1">
        <v>5.73</v>
      </c>
      <c r="CE61" s="1">
        <v>17.399999999999999</v>
      </c>
      <c r="CG61" s="22"/>
      <c r="CH61" s="22">
        <f t="shared" si="132"/>
        <v>823.62204724409446</v>
      </c>
      <c r="CI61" s="22">
        <f t="shared" si="147"/>
        <v>618.89927310488065</v>
      </c>
      <c r="CJ61" s="22">
        <f t="shared" si="133"/>
        <v>422.91666666666669</v>
      </c>
      <c r="CK61" s="22">
        <f t="shared" si="134"/>
        <v>176.92307692307693</v>
      </c>
      <c r="CL61" s="22">
        <v>10.059100000000001</v>
      </c>
      <c r="CM61" s="22">
        <f t="shared" si="148"/>
        <v>71.933962264150949</v>
      </c>
      <c r="CN61" s="22">
        <f t="shared" si="149"/>
        <v>44.148936170212764</v>
      </c>
      <c r="CO61" s="22">
        <f t="shared" si="150"/>
        <v>31.235521235521233</v>
      </c>
      <c r="CP61" s="22">
        <f t="shared" si="151"/>
        <v>20.341880341880341</v>
      </c>
      <c r="CQ61" s="22">
        <f t="shared" si="152"/>
        <v>18.098159509202453</v>
      </c>
      <c r="CR61" s="22">
        <f t="shared" si="153"/>
        <v>12.5</v>
      </c>
      <c r="CS61" s="22">
        <f t="shared" si="154"/>
        <v>10.662650602409638</v>
      </c>
      <c r="CT61" s="22">
        <f t="shared" si="155"/>
        <v>9.1999999999999993</v>
      </c>
      <c r="CU61" s="22">
        <f t="shared" si="135"/>
        <v>16.113360323886639</v>
      </c>
      <c r="CV61" s="22">
        <f t="shared" si="136"/>
        <v>15.486381322957198</v>
      </c>
      <c r="CW61" s="22">
        <f t="shared" si="137"/>
        <v>1.0404858299595141</v>
      </c>
      <c r="CX61" s="20">
        <f t="shared" si="126"/>
        <v>129.85121457489876</v>
      </c>
      <c r="CY61" s="22">
        <f t="shared" si="156"/>
        <v>24.904761904761905</v>
      </c>
      <c r="CZ61" s="22">
        <f t="shared" si="138"/>
        <v>43.106457242582891</v>
      </c>
      <c r="DA61" s="22">
        <f t="shared" si="139"/>
        <v>6.3043478260869561</v>
      </c>
      <c r="DB61" s="22">
        <f t="shared" si="127"/>
        <v>3.0607287449392713</v>
      </c>
      <c r="DC61" s="22">
        <f t="shared" si="146"/>
        <v>140.14084507042253</v>
      </c>
      <c r="DD61" s="22">
        <f t="shared" si="157"/>
        <v>2.1353383458646613</v>
      </c>
      <c r="DE61" s="22">
        <f t="shared" si="158"/>
        <v>7.5141242937853114</v>
      </c>
      <c r="DF61" s="22">
        <f t="shared" si="159"/>
        <v>16.045197740112993</v>
      </c>
      <c r="DG61" s="19">
        <f t="shared" si="112"/>
        <v>8.2885906040268456</v>
      </c>
      <c r="DH61" s="20">
        <f t="shared" si="140"/>
        <v>170.8855252918288</v>
      </c>
      <c r="DI61" s="19">
        <f t="shared" si="141"/>
        <v>1.9285120342110735</v>
      </c>
      <c r="DJ61" s="22">
        <f t="shared" si="160"/>
        <v>1117.391304347826</v>
      </c>
      <c r="DK61" s="22">
        <f t="shared" si="161"/>
        <v>0</v>
      </c>
      <c r="DL61" s="22">
        <f t="shared" si="142"/>
        <v>0</v>
      </c>
      <c r="DM61" s="22">
        <f t="shared" si="162"/>
        <v>145.19774011299435</v>
      </c>
      <c r="DN61" s="22">
        <f t="shared" si="163"/>
        <v>8.2266009852216743E-2</v>
      </c>
      <c r="DO61" s="22">
        <f t="shared" si="164"/>
        <v>15.593220338983052</v>
      </c>
      <c r="DP61" s="20">
        <f t="shared" si="165"/>
        <v>1050.8474576271187</v>
      </c>
      <c r="DQ61" s="22">
        <f t="shared" si="166"/>
        <v>9.1625615763546797</v>
      </c>
      <c r="DR61" s="22">
        <f t="shared" si="167"/>
        <v>20.374674019754561</v>
      </c>
      <c r="DS61" s="19">
        <f t="shared" si="168"/>
        <v>0.99919390898970728</v>
      </c>
      <c r="DT61" s="23">
        <f t="shared" si="169"/>
        <v>5.3763440860215054E-4</v>
      </c>
      <c r="DU61" s="22">
        <f t="shared" si="113"/>
        <v>25.369127516778523</v>
      </c>
      <c r="DV61" s="22">
        <f t="shared" si="170"/>
        <v>18.571428571428569</v>
      </c>
      <c r="DW61" s="22">
        <f t="shared" si="130"/>
        <v>-3.7785931152495511E-2</v>
      </c>
      <c r="DX61" s="22">
        <f t="shared" si="114"/>
        <v>32.671957671957671</v>
      </c>
      <c r="DY61" s="22">
        <f t="shared" si="143"/>
        <v>3.7566137566137567</v>
      </c>
      <c r="DZ61" s="19">
        <f t="shared" si="171"/>
        <v>0.97122994395131201</v>
      </c>
      <c r="EA61" s="23">
        <f t="shared" si="144"/>
        <v>7.4319066147859915E-3</v>
      </c>
      <c r="EB61" s="19">
        <f t="shared" si="145"/>
        <v>0.11497975708502024</v>
      </c>
      <c r="EC61" s="19">
        <f t="shared" si="172"/>
        <v>0.20425976811598448</v>
      </c>
      <c r="ED61" s="19"/>
      <c r="EE61" s="19">
        <f t="shared" si="115"/>
        <v>38.590604026845632</v>
      </c>
      <c r="EF61" s="19">
        <f t="shared" si="116"/>
        <v>5.9843400447427282</v>
      </c>
      <c r="EG61" s="19">
        <f t="shared" si="117"/>
        <v>6.8120805369127497</v>
      </c>
      <c r="EH61" s="19">
        <f t="shared" si="118"/>
        <v>13.825503355704695</v>
      </c>
      <c r="EI61" s="19">
        <f t="shared" si="119"/>
        <v>0.24608501118568227</v>
      </c>
      <c r="EJ61" s="19">
        <f t="shared" si="120"/>
        <v>7.5950782997762847</v>
      </c>
      <c r="EK61" s="19">
        <f t="shared" si="121"/>
        <v>18.064876957494402</v>
      </c>
      <c r="EL61" s="19">
        <f t="shared" si="122"/>
        <v>0.27964205816554805</v>
      </c>
      <c r="EM61" s="19">
        <f t="shared" si="123"/>
        <v>5.9172259507829965</v>
      </c>
      <c r="EN61" s="19">
        <f t="shared" si="124"/>
        <v>2.684563758389261</v>
      </c>
      <c r="EO61" s="19">
        <f t="shared" si="125"/>
        <v>99.999999999999986</v>
      </c>
    </row>
    <row r="62" spans="1:145" s="18" customFormat="1" ht="14.5" customHeight="1">
      <c r="A62" s="1" t="s">
        <v>231</v>
      </c>
      <c r="B62" s="1">
        <v>3</v>
      </c>
      <c r="C62" s="12" t="s">
        <v>242</v>
      </c>
      <c r="D62" s="1" t="s">
        <v>241</v>
      </c>
      <c r="E62" s="12" t="s">
        <v>243</v>
      </c>
      <c r="F62" s="45" t="s">
        <v>240</v>
      </c>
      <c r="G62" s="15">
        <v>36</v>
      </c>
      <c r="H62" s="15">
        <v>8.86</v>
      </c>
      <c r="I62" s="15">
        <v>8.27</v>
      </c>
      <c r="J62" s="15">
        <v>25.72</v>
      </c>
      <c r="K62" s="15">
        <v>0.22</v>
      </c>
      <c r="L62" s="15">
        <v>5.31</v>
      </c>
      <c r="M62" s="15">
        <v>3.42</v>
      </c>
      <c r="N62" s="15">
        <v>0.2</v>
      </c>
      <c r="O62" s="15">
        <v>1.35</v>
      </c>
      <c r="P62" s="15">
        <v>2.16</v>
      </c>
      <c r="Q62" s="15">
        <v>8.76</v>
      </c>
      <c r="R62" s="15"/>
      <c r="S62" s="15">
        <f t="shared" si="94"/>
        <v>91.509999999999991</v>
      </c>
      <c r="T62" s="16"/>
      <c r="U62" s="37"/>
      <c r="V62" s="37"/>
      <c r="AF62" s="19">
        <f t="shared" si="95"/>
        <v>0.32484495876895692</v>
      </c>
      <c r="AG62" s="20">
        <f t="shared" si="96"/>
        <v>53115.7</v>
      </c>
      <c r="AH62" s="20">
        <f t="shared" si="97"/>
        <v>11207.7</v>
      </c>
      <c r="AI62" s="20">
        <f t="shared" si="98"/>
        <v>9426.24</v>
      </c>
      <c r="AJ62" s="19">
        <f t="shared" si="99"/>
        <v>1.55</v>
      </c>
      <c r="AK62" s="19">
        <f t="shared" si="100"/>
        <v>6.75</v>
      </c>
      <c r="AL62" s="19">
        <f t="shared" si="101"/>
        <v>0.14814814814814814</v>
      </c>
      <c r="AM62" s="19">
        <f t="shared" si="102"/>
        <v>0.41354292623941957</v>
      </c>
      <c r="AN62" s="19">
        <f t="shared" si="103"/>
        <v>0.16324062877871828</v>
      </c>
      <c r="AO62" s="19">
        <f t="shared" si="104"/>
        <v>0.2164715294969983</v>
      </c>
      <c r="AP62" s="19">
        <f t="shared" si="105"/>
        <v>4.6195451305935658</v>
      </c>
      <c r="AQ62" s="19">
        <f t="shared" si="106"/>
        <v>1.0326941211211433</v>
      </c>
      <c r="AR62" s="19">
        <f t="shared" si="107"/>
        <v>0.2164715294969983</v>
      </c>
      <c r="AS62" s="20">
        <f t="shared" si="108"/>
        <v>1813.6607900644237</v>
      </c>
      <c r="AT62" s="20">
        <f t="shared" si="109"/>
        <v>776.46121877168866</v>
      </c>
      <c r="AU62" s="19">
        <f t="shared" si="110"/>
        <v>3.7500000000000006E-2</v>
      </c>
      <c r="AV62" s="19">
        <f t="shared" si="111"/>
        <v>0.17668805212609462</v>
      </c>
      <c r="AX62" s="16">
        <v>163</v>
      </c>
      <c r="AY62" s="16">
        <v>2090</v>
      </c>
      <c r="AZ62" s="16">
        <v>9620</v>
      </c>
      <c r="BA62" s="1">
        <v>1.9</v>
      </c>
      <c r="BB62" s="16">
        <v>29</v>
      </c>
      <c r="BC62" s="16">
        <v>257</v>
      </c>
      <c r="BD62" s="16">
        <v>360</v>
      </c>
      <c r="BF62" s="16">
        <v>233</v>
      </c>
      <c r="BG62" s="16">
        <v>142</v>
      </c>
      <c r="BH62" s="16">
        <v>111</v>
      </c>
      <c r="BI62" s="16">
        <v>30.5</v>
      </c>
      <c r="BJ62" s="16">
        <v>829</v>
      </c>
      <c r="BK62" s="16">
        <v>252</v>
      </c>
      <c r="BL62" s="1">
        <v>17.399999999999999</v>
      </c>
      <c r="BM62" s="1">
        <v>14.3</v>
      </c>
      <c r="BN62" s="1">
        <v>280</v>
      </c>
      <c r="BO62" s="1">
        <v>580</v>
      </c>
      <c r="BP62" s="1">
        <v>67.2</v>
      </c>
      <c r="BQ62" s="1">
        <v>230</v>
      </c>
      <c r="BR62" s="1">
        <v>31.1</v>
      </c>
      <c r="BS62" s="1">
        <v>7.37</v>
      </c>
      <c r="BT62" s="1">
        <v>15.55</v>
      </c>
      <c r="BU62" s="1">
        <v>1.8</v>
      </c>
      <c r="BV62" s="1">
        <v>8.1999999999999993</v>
      </c>
      <c r="BW62" s="1">
        <v>1.25</v>
      </c>
      <c r="BX62" s="1">
        <v>2.91</v>
      </c>
      <c r="BY62" s="1">
        <v>0.33</v>
      </c>
      <c r="BZ62" s="1">
        <v>1.81</v>
      </c>
      <c r="CA62" s="1">
        <v>0.22</v>
      </c>
      <c r="CB62" s="1">
        <v>25</v>
      </c>
      <c r="CC62" s="1">
        <v>32.4</v>
      </c>
      <c r="CD62" s="1">
        <v>5.0999999999999996</v>
      </c>
      <c r="CE62" s="1">
        <v>14.8</v>
      </c>
      <c r="CG62" s="22"/>
      <c r="CH62" s="22">
        <f t="shared" si="132"/>
        <v>913.38582677165357</v>
      </c>
      <c r="CI62" s="22">
        <f t="shared" si="147"/>
        <v>697.81931464174465</v>
      </c>
      <c r="CJ62" s="22">
        <f t="shared" si="133"/>
        <v>479.16666666666669</v>
      </c>
      <c r="CK62" s="22">
        <f t="shared" si="134"/>
        <v>199.35897435897436</v>
      </c>
      <c r="CL62" s="22">
        <v>11.059100000000001</v>
      </c>
      <c r="CM62" s="22">
        <f t="shared" si="148"/>
        <v>73.34905660377359</v>
      </c>
      <c r="CN62" s="22">
        <f t="shared" si="149"/>
        <v>47.872340425531917</v>
      </c>
      <c r="CO62" s="22">
        <f t="shared" si="150"/>
        <v>31.660231660231656</v>
      </c>
      <c r="CP62" s="22">
        <f t="shared" si="151"/>
        <v>21.367521367521366</v>
      </c>
      <c r="CQ62" s="22">
        <f t="shared" si="152"/>
        <v>17.85276073619632</v>
      </c>
      <c r="CR62" s="22">
        <f t="shared" si="153"/>
        <v>12.890625</v>
      </c>
      <c r="CS62" s="22">
        <f t="shared" si="154"/>
        <v>10.903614457831326</v>
      </c>
      <c r="CT62" s="22">
        <f t="shared" si="155"/>
        <v>8.7999999999999989</v>
      </c>
      <c r="CU62" s="22">
        <f t="shared" si="135"/>
        <v>38.174603174603178</v>
      </c>
      <c r="CV62" s="22">
        <f t="shared" si="136"/>
        <v>34.357142857142854</v>
      </c>
      <c r="CW62" s="22">
        <f t="shared" si="137"/>
        <v>1.1111111111111112</v>
      </c>
      <c r="CX62" s="20">
        <f t="shared" si="126"/>
        <v>210.77658730158728</v>
      </c>
      <c r="CY62" s="22">
        <f t="shared" si="156"/>
        <v>23.2</v>
      </c>
      <c r="CZ62" s="22">
        <f t="shared" si="138"/>
        <v>49.411764705882355</v>
      </c>
      <c r="DA62" s="22">
        <f t="shared" si="139"/>
        <v>5.2411575562700961</v>
      </c>
      <c r="DB62" s="22">
        <f t="shared" si="127"/>
        <v>3.2896825396825395</v>
      </c>
      <c r="DC62" s="22">
        <f t="shared" si="146"/>
        <v>296.91358024691357</v>
      </c>
      <c r="DD62" s="22">
        <f t="shared" si="157"/>
        <v>2.2657342657342654</v>
      </c>
      <c r="DE62" s="22">
        <f t="shared" si="158"/>
        <v>7.9005524861878458</v>
      </c>
      <c r="DF62" s="22">
        <f t="shared" si="159"/>
        <v>17.900552486187845</v>
      </c>
      <c r="DG62" s="19">
        <f t="shared" si="112"/>
        <v>8.2622950819672134</v>
      </c>
      <c r="DH62" s="20">
        <f t="shared" si="140"/>
        <v>40.027500000000003</v>
      </c>
      <c r="DI62" s="19">
        <f t="shared" si="141"/>
        <v>4.1283747723371196</v>
      </c>
      <c r="DJ62" s="22">
        <f t="shared" si="160"/>
        <v>1272.7272727272727</v>
      </c>
      <c r="DK62" s="22">
        <f t="shared" si="161"/>
        <v>0</v>
      </c>
      <c r="DL62" s="22">
        <f t="shared" si="142"/>
        <v>0</v>
      </c>
      <c r="DM62" s="22">
        <f t="shared" si="162"/>
        <v>154.69613259668509</v>
      </c>
      <c r="DN62" s="22">
        <f t="shared" si="163"/>
        <v>7.5652173913043477E-2</v>
      </c>
      <c r="DO62" s="22">
        <f t="shared" si="164"/>
        <v>17.182320441988949</v>
      </c>
      <c r="DP62" s="20">
        <f t="shared" si="165"/>
        <v>1154.6961325966849</v>
      </c>
      <c r="DQ62" s="22">
        <f t="shared" si="166"/>
        <v>9.0869565217391308</v>
      </c>
      <c r="DR62" s="22">
        <f t="shared" si="167"/>
        <v>21.358368865537329</v>
      </c>
      <c r="DS62" s="19">
        <f t="shared" si="168"/>
        <v>1.0177885590263165</v>
      </c>
      <c r="DT62" s="23">
        <f t="shared" si="169"/>
        <v>4.7846889952153111E-4</v>
      </c>
      <c r="DU62" s="22">
        <f t="shared" si="113"/>
        <v>27.180327868852459</v>
      </c>
      <c r="DV62" s="22">
        <f t="shared" si="170"/>
        <v>17.62237762237762</v>
      </c>
      <c r="DW62" s="22">
        <f t="shared" si="130"/>
        <v>-9.6668305675938093E-2</v>
      </c>
      <c r="DX62" s="22">
        <f t="shared" si="114"/>
        <v>30.398069963811821</v>
      </c>
      <c r="DY62" s="22">
        <f t="shared" si="143"/>
        <v>3.90832328106152</v>
      </c>
      <c r="DZ62" s="19">
        <f t="shared" si="171"/>
        <v>0.17881801293450295</v>
      </c>
      <c r="EA62" s="23">
        <f t="shared" si="144"/>
        <v>6.7857142857142855E-3</v>
      </c>
      <c r="EB62" s="19">
        <f t="shared" si="145"/>
        <v>0.12857142857142856</v>
      </c>
      <c r="EC62" s="19">
        <f t="shared" si="172"/>
        <v>0.21745975253464792</v>
      </c>
      <c r="ED62" s="19"/>
      <c r="EE62" s="19">
        <f t="shared" si="115"/>
        <v>39.339962845590648</v>
      </c>
      <c r="EF62" s="19">
        <f t="shared" si="116"/>
        <v>9.6820019669981434</v>
      </c>
      <c r="EG62" s="19">
        <f t="shared" si="117"/>
        <v>9.0372636870287408</v>
      </c>
      <c r="EH62" s="19">
        <f t="shared" si="118"/>
        <v>28.106217899683099</v>
      </c>
      <c r="EI62" s="19">
        <f t="shared" si="119"/>
        <v>0.2404108840563873</v>
      </c>
      <c r="EJ62" s="19">
        <f t="shared" si="120"/>
        <v>5.8026445197246206</v>
      </c>
      <c r="EK62" s="19">
        <f t="shared" si="121"/>
        <v>3.7372964703311116</v>
      </c>
      <c r="EL62" s="19">
        <f t="shared" si="122"/>
        <v>0.21855534914217029</v>
      </c>
      <c r="EM62" s="19">
        <f t="shared" si="123"/>
        <v>1.4752486067096493</v>
      </c>
      <c r="EN62" s="19">
        <f t="shared" si="124"/>
        <v>2.3603977707354389</v>
      </c>
      <c r="EO62" s="19">
        <f t="shared" si="125"/>
        <v>100.00000000000003</v>
      </c>
    </row>
    <row r="63" spans="1:145" s="18" customFormat="1" ht="14.5" customHeight="1">
      <c r="A63" s="1" t="s">
        <v>231</v>
      </c>
      <c r="B63" s="1">
        <v>3</v>
      </c>
      <c r="C63" s="12" t="s">
        <v>242</v>
      </c>
      <c r="D63" s="1" t="s">
        <v>241</v>
      </c>
      <c r="E63" s="12" t="s">
        <v>243</v>
      </c>
      <c r="F63" s="45" t="s">
        <v>240</v>
      </c>
      <c r="G63" s="15">
        <v>29.5</v>
      </c>
      <c r="H63" s="15">
        <v>6.41</v>
      </c>
      <c r="I63" s="15">
        <v>3.54</v>
      </c>
      <c r="J63" s="15">
        <v>14.62</v>
      </c>
      <c r="K63" s="15">
        <v>0.21</v>
      </c>
      <c r="L63" s="15">
        <v>10.1</v>
      </c>
      <c r="M63" s="15">
        <v>19.899999999999999</v>
      </c>
      <c r="N63" s="15">
        <v>0.36</v>
      </c>
      <c r="O63" s="15">
        <v>2.36</v>
      </c>
      <c r="P63" s="15">
        <v>2.14</v>
      </c>
      <c r="Q63" s="15">
        <v>7.58</v>
      </c>
      <c r="R63" s="15"/>
      <c r="S63" s="15">
        <f t="shared" si="94"/>
        <v>89.14</v>
      </c>
      <c r="T63" s="16"/>
      <c r="U63" s="37"/>
      <c r="V63" s="37"/>
      <c r="AF63" s="19">
        <f t="shared" si="95"/>
        <v>0.61685670556346639</v>
      </c>
      <c r="AG63" s="20">
        <f t="shared" si="96"/>
        <v>38427.950000000004</v>
      </c>
      <c r="AH63" s="20">
        <f t="shared" si="97"/>
        <v>19592.719999999998</v>
      </c>
      <c r="AI63" s="20">
        <f t="shared" si="98"/>
        <v>9338.9600000000009</v>
      </c>
      <c r="AJ63" s="19">
        <f t="shared" si="99"/>
        <v>2.7199999999999998</v>
      </c>
      <c r="AK63" s="19">
        <f t="shared" si="100"/>
        <v>6.5555555555555554</v>
      </c>
      <c r="AL63" s="19">
        <f t="shared" si="101"/>
        <v>0.15254237288135594</v>
      </c>
      <c r="AM63" s="19">
        <f t="shared" si="102"/>
        <v>5.6214689265536721</v>
      </c>
      <c r="AN63" s="19">
        <f t="shared" si="103"/>
        <v>0.66666666666666663</v>
      </c>
      <c r="AO63" s="19">
        <f t="shared" si="104"/>
        <v>0.88887817337284614</v>
      </c>
      <c r="AP63" s="19">
        <f t="shared" si="105"/>
        <v>1.1250135619884807</v>
      </c>
      <c r="AQ63" s="19">
        <f t="shared" si="106"/>
        <v>9.0014135534979625E-2</v>
      </c>
      <c r="AR63" s="19">
        <f t="shared" si="107"/>
        <v>0.88887817337284614</v>
      </c>
      <c r="AS63" s="20">
        <f t="shared" si="108"/>
        <v>1437.0169379133113</v>
      </c>
      <c r="AT63" s="20">
        <f t="shared" si="109"/>
        <v>2989.7481226290597</v>
      </c>
      <c r="AU63" s="19">
        <f t="shared" si="110"/>
        <v>0.08</v>
      </c>
      <c r="AV63" s="19">
        <f t="shared" si="111"/>
        <v>0.72158527954706286</v>
      </c>
      <c r="AX63" s="16">
        <v>171.5</v>
      </c>
      <c r="AY63" s="16">
        <v>1980</v>
      </c>
      <c r="AZ63" s="16">
        <v>6880</v>
      </c>
      <c r="BA63" s="1">
        <v>1.65</v>
      </c>
      <c r="BB63" s="16">
        <v>28</v>
      </c>
      <c r="BC63" s="16">
        <v>306</v>
      </c>
      <c r="BD63" s="16">
        <v>290</v>
      </c>
      <c r="BF63" s="16">
        <v>211</v>
      </c>
      <c r="BG63" s="16">
        <v>142</v>
      </c>
      <c r="BH63" s="16">
        <v>132</v>
      </c>
      <c r="BI63" s="16">
        <v>31.7</v>
      </c>
      <c r="BJ63" s="16">
        <v>837</v>
      </c>
      <c r="BK63" s="16">
        <v>251</v>
      </c>
      <c r="BL63" s="1">
        <v>17.600000000000001</v>
      </c>
      <c r="BM63" s="1">
        <v>14.1</v>
      </c>
      <c r="BN63" s="1">
        <v>268</v>
      </c>
      <c r="BO63" s="1">
        <v>559</v>
      </c>
      <c r="BP63" s="1">
        <v>64.900000000000006</v>
      </c>
      <c r="BQ63" s="1">
        <v>218</v>
      </c>
      <c r="BR63" s="1">
        <v>29.6</v>
      </c>
      <c r="BS63" s="1">
        <v>7.1</v>
      </c>
      <c r="BT63" s="1">
        <v>15.85</v>
      </c>
      <c r="BU63" s="1">
        <v>1.68</v>
      </c>
      <c r="BV63" s="1">
        <v>7.96</v>
      </c>
      <c r="BW63" s="1">
        <v>1.19</v>
      </c>
      <c r="BX63" s="1">
        <v>2.71</v>
      </c>
      <c r="BY63" s="1">
        <v>0.35</v>
      </c>
      <c r="BZ63" s="1">
        <v>1.67</v>
      </c>
      <c r="CA63" s="1">
        <v>0.22</v>
      </c>
      <c r="CB63" s="1">
        <v>24</v>
      </c>
      <c r="CC63" s="1">
        <v>31.2</v>
      </c>
      <c r="CD63" s="1">
        <v>4.88</v>
      </c>
      <c r="CE63" s="1">
        <v>16.5</v>
      </c>
      <c r="CG63" s="22"/>
      <c r="CH63" s="22">
        <f t="shared" si="132"/>
        <v>880.3149606299213</v>
      </c>
      <c r="CI63" s="22">
        <f t="shared" si="147"/>
        <v>673.93561786085161</v>
      </c>
      <c r="CJ63" s="22">
        <f t="shared" si="133"/>
        <v>454.16666666666669</v>
      </c>
      <c r="CK63" s="22">
        <f t="shared" si="134"/>
        <v>189.74358974358975</v>
      </c>
      <c r="CL63" s="22">
        <v>12.059100000000001</v>
      </c>
      <c r="CM63" s="22">
        <f t="shared" si="148"/>
        <v>74.764150943396231</v>
      </c>
      <c r="CN63" s="22">
        <f t="shared" si="149"/>
        <v>44.680851063829785</v>
      </c>
      <c r="CO63" s="22">
        <f t="shared" si="150"/>
        <v>30.733590733590731</v>
      </c>
      <c r="CP63" s="22">
        <f t="shared" si="151"/>
        <v>20.341880341880341</v>
      </c>
      <c r="CQ63" s="22">
        <f t="shared" si="152"/>
        <v>16.625766871165645</v>
      </c>
      <c r="CR63" s="22">
        <f t="shared" si="153"/>
        <v>13.671874999999998</v>
      </c>
      <c r="CS63" s="22">
        <f t="shared" si="154"/>
        <v>10.060240963855421</v>
      </c>
      <c r="CT63" s="22">
        <f t="shared" si="155"/>
        <v>8.7999999999999989</v>
      </c>
      <c r="CU63" s="22">
        <f t="shared" si="135"/>
        <v>27.410358565737052</v>
      </c>
      <c r="CV63" s="22">
        <f t="shared" si="136"/>
        <v>25.671641791044777</v>
      </c>
      <c r="CW63" s="22">
        <f t="shared" si="137"/>
        <v>1.0677290836653386</v>
      </c>
      <c r="CX63" s="20">
        <f t="shared" si="126"/>
        <v>153.09940239043826</v>
      </c>
      <c r="CY63" s="22">
        <f t="shared" si="156"/>
        <v>23.291666666666668</v>
      </c>
      <c r="CZ63" s="22">
        <f t="shared" si="138"/>
        <v>51.434426229508198</v>
      </c>
      <c r="DA63" s="22">
        <f t="shared" si="139"/>
        <v>5.7939189189189184</v>
      </c>
      <c r="DB63" s="22">
        <f t="shared" si="127"/>
        <v>3.3346613545816735</v>
      </c>
      <c r="DC63" s="22">
        <f t="shared" si="146"/>
        <v>220.51282051282053</v>
      </c>
      <c r="DD63" s="22">
        <f t="shared" si="157"/>
        <v>2.2127659574468086</v>
      </c>
      <c r="DE63" s="22">
        <f t="shared" si="158"/>
        <v>8.4431137724550904</v>
      </c>
      <c r="DF63" s="22">
        <f t="shared" si="159"/>
        <v>18.682634730538922</v>
      </c>
      <c r="DG63" s="19">
        <f t="shared" si="112"/>
        <v>7.9179810725552056</v>
      </c>
      <c r="DH63" s="20">
        <f t="shared" si="140"/>
        <v>73.107164179104473</v>
      </c>
      <c r="DI63" s="19">
        <f t="shared" si="141"/>
        <v>3.1793501170214413</v>
      </c>
      <c r="DJ63" s="22">
        <f t="shared" si="160"/>
        <v>1218.1818181818182</v>
      </c>
      <c r="DK63" s="22">
        <f t="shared" si="161"/>
        <v>0</v>
      </c>
      <c r="DL63" s="22">
        <f t="shared" si="142"/>
        <v>0</v>
      </c>
      <c r="DM63" s="22">
        <f t="shared" si="162"/>
        <v>160.47904191616766</v>
      </c>
      <c r="DN63" s="22">
        <f t="shared" si="163"/>
        <v>8.0733944954128445E-2</v>
      </c>
      <c r="DO63" s="22">
        <f t="shared" si="164"/>
        <v>17.724550898203596</v>
      </c>
      <c r="DP63" s="20">
        <f t="shared" si="165"/>
        <v>1185.6287425149701</v>
      </c>
      <c r="DQ63" s="22">
        <f t="shared" si="166"/>
        <v>9.0825688073394488</v>
      </c>
      <c r="DR63" s="22">
        <f t="shared" si="167"/>
        <v>20.543379508746327</v>
      </c>
      <c r="DS63" s="19">
        <f t="shared" si="168"/>
        <v>0.99548180802688324</v>
      </c>
      <c r="DT63" s="23">
        <f t="shared" si="169"/>
        <v>5.0505050505050505E-4</v>
      </c>
      <c r="DU63" s="22">
        <f t="shared" si="113"/>
        <v>26.403785488958992</v>
      </c>
      <c r="DV63" s="22">
        <f t="shared" si="170"/>
        <v>17.801418439716311</v>
      </c>
      <c r="DW63" s="22">
        <f t="shared" si="130"/>
        <v>-9.0984636625689674E-2</v>
      </c>
      <c r="DX63" s="22">
        <f t="shared" si="114"/>
        <v>29.988052568697729</v>
      </c>
      <c r="DY63" s="22">
        <f t="shared" si="143"/>
        <v>3.7275985663082438</v>
      </c>
      <c r="DZ63" s="19">
        <f t="shared" si="171"/>
        <v>1.1274966401733284</v>
      </c>
      <c r="EA63" s="23">
        <f t="shared" si="144"/>
        <v>6.1567164179104471E-3</v>
      </c>
      <c r="EB63" s="19">
        <f t="shared" si="145"/>
        <v>0.12430278884462151</v>
      </c>
      <c r="EC63" s="19">
        <f t="shared" si="172"/>
        <v>0.2163816875348277</v>
      </c>
      <c r="ED63" s="19"/>
      <c r="EE63" s="19">
        <f t="shared" si="115"/>
        <v>33.094009423378957</v>
      </c>
      <c r="EF63" s="19">
        <f t="shared" si="116"/>
        <v>7.190935606910478</v>
      </c>
      <c r="EG63" s="19">
        <f t="shared" si="117"/>
        <v>3.9712811308054743</v>
      </c>
      <c r="EH63" s="19">
        <f t="shared" si="118"/>
        <v>16.401166704061026</v>
      </c>
      <c r="EI63" s="19">
        <f t="shared" si="119"/>
        <v>0.23558447386134171</v>
      </c>
      <c r="EJ63" s="19">
        <f t="shared" si="120"/>
        <v>11.330491361902626</v>
      </c>
      <c r="EK63" s="19">
        <f t="shared" si="121"/>
        <v>22.324433475431903</v>
      </c>
      <c r="EL63" s="19">
        <f t="shared" si="122"/>
        <v>0.40385909804801434</v>
      </c>
      <c r="EM63" s="19">
        <f t="shared" si="123"/>
        <v>2.6475207538703165</v>
      </c>
      <c r="EN63" s="19">
        <f t="shared" si="124"/>
        <v>2.400717971729863</v>
      </c>
      <c r="EO63" s="19">
        <f t="shared" si="125"/>
        <v>100</v>
      </c>
    </row>
    <row r="64" spans="1:145" s="18" customFormat="1" ht="14.5" customHeight="1">
      <c r="A64" s="1" t="s">
        <v>231</v>
      </c>
      <c r="B64" s="1">
        <v>3</v>
      </c>
      <c r="C64" s="12" t="s">
        <v>242</v>
      </c>
      <c r="D64" s="1" t="s">
        <v>241</v>
      </c>
      <c r="E64" s="12" t="s">
        <v>243</v>
      </c>
      <c r="F64" s="45" t="s">
        <v>240</v>
      </c>
      <c r="G64" s="15">
        <v>31.2</v>
      </c>
      <c r="H64" s="15">
        <v>5.13</v>
      </c>
      <c r="I64" s="15">
        <v>4.99</v>
      </c>
      <c r="J64" s="15">
        <v>15.36</v>
      </c>
      <c r="K64" s="15">
        <v>0.23</v>
      </c>
      <c r="L64" s="15">
        <v>7.23</v>
      </c>
      <c r="M64" s="15">
        <v>15.7</v>
      </c>
      <c r="N64" s="15">
        <v>0.38</v>
      </c>
      <c r="O64" s="15">
        <v>5.1100000000000003</v>
      </c>
      <c r="P64" s="15">
        <v>2.21</v>
      </c>
      <c r="Q64" s="15">
        <v>12.63000000000001</v>
      </c>
      <c r="R64" s="15"/>
      <c r="S64" s="15">
        <f t="shared" si="94"/>
        <v>87.539999999999992</v>
      </c>
      <c r="T64" s="16"/>
      <c r="U64" s="37"/>
      <c r="V64" s="37"/>
      <c r="AF64" s="19">
        <f t="shared" si="95"/>
        <v>0.52312225506221233</v>
      </c>
      <c r="AG64" s="20">
        <f t="shared" si="96"/>
        <v>30754.35</v>
      </c>
      <c r="AH64" s="20">
        <f t="shared" si="97"/>
        <v>42423.22</v>
      </c>
      <c r="AI64" s="20">
        <f t="shared" si="98"/>
        <v>9644.44</v>
      </c>
      <c r="AJ64" s="19">
        <f t="shared" si="99"/>
        <v>5.49</v>
      </c>
      <c r="AK64" s="19">
        <f t="shared" si="100"/>
        <v>13.447368421052632</v>
      </c>
      <c r="AL64" s="19">
        <f t="shared" si="101"/>
        <v>7.4363992172211346E-2</v>
      </c>
      <c r="AM64" s="19">
        <f t="shared" si="102"/>
        <v>3.1462925851703405</v>
      </c>
      <c r="AN64" s="19">
        <f t="shared" si="103"/>
        <v>1.0240480961923848</v>
      </c>
      <c r="AO64" s="19">
        <f t="shared" si="104"/>
        <v>1.2336811518351196</v>
      </c>
      <c r="AP64" s="19">
        <f t="shared" si="105"/>
        <v>0.81058221446642409</v>
      </c>
      <c r="AQ64" s="19">
        <f t="shared" si="106"/>
        <v>0.14380193985236386</v>
      </c>
      <c r="AR64" s="19">
        <f t="shared" si="107"/>
        <v>1.2336811518351196</v>
      </c>
      <c r="AS64" s="20">
        <f t="shared" si="108"/>
        <v>1247.7137906818916</v>
      </c>
      <c r="AT64" s="20">
        <f t="shared" si="109"/>
        <v>2384.6160818494659</v>
      </c>
      <c r="AU64" s="19">
        <f t="shared" si="110"/>
        <v>0.16378205128205128</v>
      </c>
      <c r="AV64" s="19">
        <f t="shared" si="111"/>
        <v>1.1084070476409293</v>
      </c>
      <c r="AX64" s="16">
        <v>207</v>
      </c>
      <c r="AY64" s="16">
        <v>1825</v>
      </c>
      <c r="AZ64" s="16">
        <v>5070</v>
      </c>
      <c r="BA64" s="1">
        <v>2.33</v>
      </c>
      <c r="BB64" s="16">
        <v>25</v>
      </c>
      <c r="BC64" s="16">
        <v>339</v>
      </c>
      <c r="BD64" s="16">
        <v>300</v>
      </c>
      <c r="BF64" s="16">
        <v>217</v>
      </c>
      <c r="BG64" s="16">
        <v>126</v>
      </c>
      <c r="BH64" s="16">
        <v>97</v>
      </c>
      <c r="BI64" s="16">
        <v>29.1</v>
      </c>
      <c r="BJ64" s="16">
        <v>781</v>
      </c>
      <c r="BK64" s="16">
        <v>230</v>
      </c>
      <c r="BL64" s="1">
        <v>16.399999999999999</v>
      </c>
      <c r="BM64" s="1">
        <v>12.3</v>
      </c>
      <c r="BN64" s="1">
        <v>250</v>
      </c>
      <c r="BO64" s="1">
        <v>503</v>
      </c>
      <c r="BP64" s="1">
        <v>57.9</v>
      </c>
      <c r="BQ64" s="1">
        <v>198</v>
      </c>
      <c r="BR64" s="1">
        <v>26.4</v>
      </c>
      <c r="BS64" s="1">
        <v>6.47</v>
      </c>
      <c r="BT64" s="1">
        <v>13.55</v>
      </c>
      <c r="BU64" s="1">
        <v>1.59</v>
      </c>
      <c r="BV64" s="1">
        <v>7.5</v>
      </c>
      <c r="BW64" s="1">
        <v>1.0900000000000001</v>
      </c>
      <c r="BX64" s="1">
        <v>2.5499999999999998</v>
      </c>
      <c r="BY64" s="1">
        <v>0.3</v>
      </c>
      <c r="BZ64" s="1">
        <v>1.58</v>
      </c>
      <c r="CA64" s="1">
        <v>0.21</v>
      </c>
      <c r="CB64" s="1">
        <v>25</v>
      </c>
      <c r="CC64" s="1">
        <v>26.8</v>
      </c>
      <c r="CD64" s="1">
        <v>4.5199999999999996</v>
      </c>
      <c r="CE64" s="1">
        <v>17.3</v>
      </c>
      <c r="CG64" s="22"/>
      <c r="CH64" s="22">
        <f t="shared" si="132"/>
        <v>792.12598425196848</v>
      </c>
      <c r="CI64" s="22">
        <f t="shared" si="147"/>
        <v>601.24610591900307</v>
      </c>
      <c r="CJ64" s="22">
        <f t="shared" si="133"/>
        <v>412.5</v>
      </c>
      <c r="CK64" s="22">
        <f t="shared" si="134"/>
        <v>169.23076923076923</v>
      </c>
      <c r="CL64" s="22">
        <v>13.059100000000001</v>
      </c>
      <c r="CM64" s="22">
        <f t="shared" si="148"/>
        <v>63.915094339622648</v>
      </c>
      <c r="CN64" s="22">
        <f t="shared" si="149"/>
        <v>42.287234042553195</v>
      </c>
      <c r="CO64" s="22">
        <f t="shared" si="150"/>
        <v>28.957528957528957</v>
      </c>
      <c r="CP64" s="22">
        <f t="shared" si="151"/>
        <v>18.632478632478634</v>
      </c>
      <c r="CQ64" s="22">
        <f t="shared" si="152"/>
        <v>15.644171779141102</v>
      </c>
      <c r="CR64" s="22">
        <f t="shared" si="153"/>
        <v>11.718749999999998</v>
      </c>
      <c r="CS64" s="22">
        <f t="shared" si="154"/>
        <v>9.5180722891566258</v>
      </c>
      <c r="CT64" s="22">
        <f t="shared" si="155"/>
        <v>8.3999999999999986</v>
      </c>
      <c r="CU64" s="22">
        <f t="shared" si="135"/>
        <v>22.043478260869566</v>
      </c>
      <c r="CV64" s="22">
        <f t="shared" si="136"/>
        <v>20.28</v>
      </c>
      <c r="CW64" s="22">
        <f t="shared" si="137"/>
        <v>1.0869565217391304</v>
      </c>
      <c r="CX64" s="20">
        <f t="shared" si="126"/>
        <v>133.71456521739131</v>
      </c>
      <c r="CY64" s="22">
        <f t="shared" si="156"/>
        <v>20.12</v>
      </c>
      <c r="CZ64" s="22">
        <f t="shared" si="138"/>
        <v>50.884955752212392</v>
      </c>
      <c r="DA64" s="22">
        <f t="shared" si="139"/>
        <v>7.8409090909090917</v>
      </c>
      <c r="DB64" s="22">
        <f t="shared" si="127"/>
        <v>3.3956521739130436</v>
      </c>
      <c r="DC64" s="22">
        <f t="shared" si="146"/>
        <v>189.17910447761193</v>
      </c>
      <c r="DD64" s="22">
        <f t="shared" si="157"/>
        <v>2.178861788617886</v>
      </c>
      <c r="DE64" s="22">
        <f t="shared" si="158"/>
        <v>7.7848101265822782</v>
      </c>
      <c r="DF64" s="22">
        <f t="shared" si="159"/>
        <v>16.962025316455694</v>
      </c>
      <c r="DG64" s="19">
        <f t="shared" si="112"/>
        <v>7.9037800687285218</v>
      </c>
      <c r="DH64" s="20">
        <f t="shared" si="140"/>
        <v>169.69288</v>
      </c>
      <c r="DI64" s="19">
        <f t="shared" si="141"/>
        <v>2.0572104207405655</v>
      </c>
      <c r="DJ64" s="22">
        <f t="shared" si="160"/>
        <v>1190.4761904761906</v>
      </c>
      <c r="DK64" s="22">
        <f t="shared" si="161"/>
        <v>0</v>
      </c>
      <c r="DL64" s="22">
        <f t="shared" si="142"/>
        <v>0</v>
      </c>
      <c r="DM64" s="22">
        <f t="shared" si="162"/>
        <v>158.22784810126581</v>
      </c>
      <c r="DN64" s="22">
        <f t="shared" si="163"/>
        <v>8.282828282828282E-2</v>
      </c>
      <c r="DO64" s="22">
        <f t="shared" si="164"/>
        <v>16.708860759493668</v>
      </c>
      <c r="DP64" s="20">
        <f t="shared" si="165"/>
        <v>1155.0632911392404</v>
      </c>
      <c r="DQ64" s="22">
        <f t="shared" si="166"/>
        <v>9.217171717171718</v>
      </c>
      <c r="DR64" s="22">
        <f t="shared" si="167"/>
        <v>21.684951016671391</v>
      </c>
      <c r="DS64" s="19">
        <f t="shared" si="168"/>
        <v>1.0388865833236869</v>
      </c>
      <c r="DT64" s="23">
        <f t="shared" si="169"/>
        <v>5.4794520547945202E-4</v>
      </c>
      <c r="DU64" s="22">
        <f t="shared" si="113"/>
        <v>26.838487972508588</v>
      </c>
      <c r="DV64" s="22">
        <f t="shared" si="170"/>
        <v>18.699186991869919</v>
      </c>
      <c r="DW64" s="22">
        <f t="shared" si="130"/>
        <v>-0.10538059915978915</v>
      </c>
      <c r="DX64" s="22">
        <f t="shared" si="114"/>
        <v>29.449423815621</v>
      </c>
      <c r="DY64" s="22">
        <f t="shared" si="143"/>
        <v>3.4314980793854035</v>
      </c>
      <c r="DZ64" s="19">
        <f t="shared" si="171"/>
        <v>0.98272101051261107</v>
      </c>
      <c r="EA64" s="23">
        <f t="shared" si="144"/>
        <v>9.3200000000000002E-3</v>
      </c>
      <c r="EB64" s="19">
        <f t="shared" si="145"/>
        <v>0.11652173913043479</v>
      </c>
      <c r="EC64" s="19">
        <f t="shared" si="172"/>
        <v>0.25156733461747155</v>
      </c>
      <c r="ED64" s="19"/>
      <c r="EE64" s="19">
        <f t="shared" si="115"/>
        <v>35.64084989718986</v>
      </c>
      <c r="EF64" s="19">
        <f t="shared" si="116"/>
        <v>5.8601782042494861</v>
      </c>
      <c r="EG64" s="19">
        <f t="shared" si="117"/>
        <v>5.7002513136851727</v>
      </c>
      <c r="EH64" s="19">
        <f t="shared" si="118"/>
        <v>17.546264564770393</v>
      </c>
      <c r="EI64" s="19">
        <f t="shared" si="119"/>
        <v>0.26273703449851499</v>
      </c>
      <c r="EJ64" s="19">
        <f t="shared" si="120"/>
        <v>8.2590815627141883</v>
      </c>
      <c r="EK64" s="19">
        <f t="shared" si="121"/>
        <v>17.934658441855152</v>
      </c>
      <c r="EL64" s="19">
        <f t="shared" si="122"/>
        <v>0.43408727438885086</v>
      </c>
      <c r="EM64" s="19">
        <f t="shared" si="123"/>
        <v>5.837331505597442</v>
      </c>
      <c r="EN64" s="19">
        <f t="shared" si="124"/>
        <v>2.5245602010509485</v>
      </c>
      <c r="EO64" s="19">
        <f t="shared" si="125"/>
        <v>100</v>
      </c>
    </row>
    <row r="65" spans="1:145" s="18" customFormat="1" ht="14.5" customHeight="1">
      <c r="A65" s="1" t="s">
        <v>231</v>
      </c>
      <c r="B65" s="1">
        <v>3</v>
      </c>
      <c r="C65" s="12" t="s">
        <v>242</v>
      </c>
      <c r="D65" s="1" t="s">
        <v>241</v>
      </c>
      <c r="E65" s="12" t="s">
        <v>243</v>
      </c>
      <c r="F65" s="45" t="s">
        <v>240</v>
      </c>
      <c r="G65" s="15">
        <v>38</v>
      </c>
      <c r="H65" s="15">
        <v>6.71</v>
      </c>
      <c r="I65" s="15">
        <v>6.92</v>
      </c>
      <c r="J65" s="15">
        <v>17.16</v>
      </c>
      <c r="K65" s="15">
        <v>0.2</v>
      </c>
      <c r="L65" s="15">
        <v>9.73</v>
      </c>
      <c r="M65" s="15">
        <v>7.34</v>
      </c>
      <c r="N65" s="15">
        <v>0.16</v>
      </c>
      <c r="O65" s="15">
        <v>4.72</v>
      </c>
      <c r="P65" s="15">
        <v>2.39</v>
      </c>
      <c r="Q65" s="15">
        <v>6.5899999999999892</v>
      </c>
      <c r="R65" s="15"/>
      <c r="S65" s="15">
        <f t="shared" si="94"/>
        <v>93.330000000000013</v>
      </c>
      <c r="T65" s="16"/>
      <c r="U65" s="37"/>
      <c r="V65" s="37"/>
      <c r="AF65" s="19">
        <f t="shared" si="95"/>
        <v>0.56923129082000368</v>
      </c>
      <c r="AG65" s="20">
        <f t="shared" si="96"/>
        <v>40226.449999999997</v>
      </c>
      <c r="AH65" s="20">
        <f t="shared" si="97"/>
        <v>39185.439999999995</v>
      </c>
      <c r="AI65" s="20">
        <f t="shared" si="98"/>
        <v>10429.960000000001</v>
      </c>
      <c r="AJ65" s="19">
        <f t="shared" si="99"/>
        <v>4.88</v>
      </c>
      <c r="AK65" s="19">
        <f t="shared" si="100"/>
        <v>29.499999999999996</v>
      </c>
      <c r="AL65" s="19">
        <f t="shared" si="101"/>
        <v>3.3898305084745763E-2</v>
      </c>
      <c r="AM65" s="19">
        <f t="shared" si="102"/>
        <v>1.0606936416184971</v>
      </c>
      <c r="AN65" s="19">
        <f t="shared" si="103"/>
        <v>0.68208092485549132</v>
      </c>
      <c r="AO65" s="19">
        <f t="shared" si="104"/>
        <v>0.77630509616750054</v>
      </c>
      <c r="AP65" s="19">
        <f t="shared" si="105"/>
        <v>1.2881533367961218</v>
      </c>
      <c r="AQ65" s="19">
        <f t="shared" si="106"/>
        <v>0.36971717432412049</v>
      </c>
      <c r="AR65" s="19">
        <f t="shared" si="107"/>
        <v>0.77630509616750054</v>
      </c>
      <c r="AS65" s="20">
        <f t="shared" si="108"/>
        <v>1679.4777994274314</v>
      </c>
      <c r="AT65" s="20">
        <f t="shared" si="109"/>
        <v>1431.5384865128933</v>
      </c>
      <c r="AU65" s="19">
        <f t="shared" si="110"/>
        <v>0.12421052631578947</v>
      </c>
      <c r="AV65" s="19">
        <f t="shared" si="111"/>
        <v>0.73826933225335345</v>
      </c>
      <c r="AX65" s="16">
        <v>118.5</v>
      </c>
      <c r="AY65" s="16">
        <v>1035</v>
      </c>
      <c r="AZ65" s="16">
        <v>2080</v>
      </c>
      <c r="BA65" s="1">
        <v>3.73</v>
      </c>
      <c r="BB65" s="16">
        <v>28</v>
      </c>
      <c r="BC65" s="16">
        <v>204</v>
      </c>
      <c r="BD65" s="16">
        <v>550</v>
      </c>
      <c r="BF65" s="16">
        <v>434</v>
      </c>
      <c r="BG65" s="16">
        <v>106</v>
      </c>
      <c r="BH65" s="16">
        <v>95</v>
      </c>
      <c r="BI65" s="16">
        <v>28.5</v>
      </c>
      <c r="BJ65" s="16">
        <v>558</v>
      </c>
      <c r="BK65" s="16">
        <v>240</v>
      </c>
      <c r="BL65" s="1">
        <v>13.2</v>
      </c>
      <c r="BM65" s="1">
        <v>16.7</v>
      </c>
      <c r="BN65" s="1">
        <v>298</v>
      </c>
      <c r="BO65" s="1">
        <v>621</v>
      </c>
      <c r="BP65" s="1">
        <v>69.099999999999994</v>
      </c>
      <c r="BQ65" s="1">
        <v>252</v>
      </c>
      <c r="BR65" s="1">
        <v>32.799999999999997</v>
      </c>
      <c r="BS65" s="1">
        <v>7.67</v>
      </c>
      <c r="BT65" s="1">
        <v>17.350000000000001</v>
      </c>
      <c r="BU65" s="1">
        <v>1.83</v>
      </c>
      <c r="BV65" s="1">
        <v>8.48</v>
      </c>
      <c r="BW65" s="1">
        <v>1.17</v>
      </c>
      <c r="BX65" s="1">
        <v>2.6</v>
      </c>
      <c r="BY65" s="1">
        <v>0.3</v>
      </c>
      <c r="BZ65" s="1">
        <v>1.63</v>
      </c>
      <c r="CA65" s="1">
        <v>0.19</v>
      </c>
      <c r="CB65" s="1">
        <v>17</v>
      </c>
      <c r="CC65" s="1">
        <v>36.700000000000003</v>
      </c>
      <c r="CD65" s="1">
        <v>4.18</v>
      </c>
      <c r="CE65" s="1">
        <v>17</v>
      </c>
      <c r="CG65" s="22"/>
      <c r="CH65" s="22">
        <f t="shared" si="132"/>
        <v>977.95275590551182</v>
      </c>
      <c r="CI65" s="22">
        <f t="shared" si="147"/>
        <v>717.54932502596046</v>
      </c>
      <c r="CJ65" s="22">
        <f t="shared" si="133"/>
        <v>525</v>
      </c>
      <c r="CK65" s="22">
        <f t="shared" si="134"/>
        <v>210.25641025641025</v>
      </c>
      <c r="CL65" s="22">
        <v>14.059100000000001</v>
      </c>
      <c r="CM65" s="22">
        <f t="shared" si="148"/>
        <v>81.839622641509436</v>
      </c>
      <c r="CN65" s="22">
        <f t="shared" si="149"/>
        <v>48.670212765957444</v>
      </c>
      <c r="CO65" s="22">
        <f t="shared" si="150"/>
        <v>32.74131274131274</v>
      </c>
      <c r="CP65" s="22">
        <f t="shared" si="151"/>
        <v>19.999999999999996</v>
      </c>
      <c r="CQ65" s="22">
        <f t="shared" si="152"/>
        <v>15.950920245398773</v>
      </c>
      <c r="CR65" s="22">
        <f t="shared" si="153"/>
        <v>11.718749999999998</v>
      </c>
      <c r="CS65" s="22">
        <f t="shared" si="154"/>
        <v>9.8192771084337345</v>
      </c>
      <c r="CT65" s="22">
        <f t="shared" si="155"/>
        <v>7.6</v>
      </c>
      <c r="CU65" s="22">
        <f t="shared" si="135"/>
        <v>8.6666666666666661</v>
      </c>
      <c r="CV65" s="22">
        <f t="shared" si="136"/>
        <v>6.9798657718120802</v>
      </c>
      <c r="CW65" s="22">
        <f t="shared" si="137"/>
        <v>1.2416666666666667</v>
      </c>
      <c r="CX65" s="20">
        <f t="shared" si="126"/>
        <v>167.61020833333333</v>
      </c>
      <c r="CY65" s="22">
        <f t="shared" si="156"/>
        <v>36.529411764705884</v>
      </c>
      <c r="CZ65" s="22">
        <f t="shared" si="138"/>
        <v>57.416267942583737</v>
      </c>
      <c r="DA65" s="22">
        <f t="shared" si="139"/>
        <v>3.6128048780487809</v>
      </c>
      <c r="DB65" s="22">
        <f t="shared" si="127"/>
        <v>2.3250000000000002</v>
      </c>
      <c r="DC65" s="22">
        <f t="shared" si="146"/>
        <v>56.675749318801088</v>
      </c>
      <c r="DD65" s="22">
        <f t="shared" si="157"/>
        <v>2.1976047904191618</v>
      </c>
      <c r="DE65" s="22">
        <f t="shared" si="158"/>
        <v>10.245398773006135</v>
      </c>
      <c r="DF65" s="22">
        <f t="shared" si="159"/>
        <v>22.515337423312886</v>
      </c>
      <c r="DG65" s="19">
        <f t="shared" si="112"/>
        <v>8.4210526315789469</v>
      </c>
      <c r="DH65" s="20">
        <f t="shared" si="140"/>
        <v>131.49476510067112</v>
      </c>
      <c r="DI65" s="19">
        <f t="shared" si="141"/>
        <v>2.3226439973238824</v>
      </c>
      <c r="DJ65" s="22">
        <f t="shared" si="160"/>
        <v>1568.421052631579</v>
      </c>
      <c r="DK65" s="22">
        <f t="shared" si="161"/>
        <v>0</v>
      </c>
      <c r="DL65" s="22">
        <f t="shared" si="142"/>
        <v>0</v>
      </c>
      <c r="DM65" s="22">
        <f t="shared" si="162"/>
        <v>182.82208588957056</v>
      </c>
      <c r="DN65" s="22">
        <f t="shared" si="163"/>
        <v>5.2380952380952375E-2</v>
      </c>
      <c r="DO65" s="22">
        <f t="shared" si="164"/>
        <v>20.122699386503069</v>
      </c>
      <c r="DP65" s="20">
        <f t="shared" si="165"/>
        <v>634.96932515337426</v>
      </c>
      <c r="DQ65" s="22">
        <f t="shared" si="166"/>
        <v>4.1071428571428568</v>
      </c>
      <c r="DR65" s="22">
        <f t="shared" si="167"/>
        <v>9.7503650560744042</v>
      </c>
      <c r="DS65" s="19">
        <f t="shared" si="168"/>
        <v>0.97643687139431634</v>
      </c>
      <c r="DT65" s="23">
        <f t="shared" si="169"/>
        <v>9.6618357487922703E-4</v>
      </c>
      <c r="DU65" s="22">
        <f t="shared" si="113"/>
        <v>19.578947368421051</v>
      </c>
      <c r="DV65" s="22">
        <f t="shared" si="170"/>
        <v>14.371257485029941</v>
      </c>
      <c r="DW65" s="22">
        <f t="shared" si="130"/>
        <v>0.18513085095928439</v>
      </c>
      <c r="DX65" s="22">
        <f t="shared" si="114"/>
        <v>43.01075268817204</v>
      </c>
      <c r="DY65" s="22">
        <f t="shared" si="143"/>
        <v>6.5770609318996422</v>
      </c>
      <c r="DZ65" s="19">
        <f t="shared" si="171"/>
        <v>0.75986150644096495</v>
      </c>
      <c r="EA65" s="23">
        <f t="shared" si="144"/>
        <v>1.2516778523489933E-2</v>
      </c>
      <c r="EB65" s="19">
        <f t="shared" si="145"/>
        <v>0.15291666666666667</v>
      </c>
      <c r="EC65" s="19">
        <f t="shared" si="172"/>
        <v>0.14092940284615357</v>
      </c>
      <c r="ED65" s="19"/>
      <c r="EE65" s="19">
        <f t="shared" si="115"/>
        <v>40.715739847851701</v>
      </c>
      <c r="EF65" s="19">
        <f t="shared" si="116"/>
        <v>7.18954248366013</v>
      </c>
      <c r="EG65" s="19">
        <f t="shared" si="117"/>
        <v>7.4145505196614154</v>
      </c>
      <c r="EH65" s="19">
        <f t="shared" si="118"/>
        <v>18.386370941819347</v>
      </c>
      <c r="EI65" s="19">
        <f t="shared" si="119"/>
        <v>0.21429336762027212</v>
      </c>
      <c r="EJ65" s="19">
        <f t="shared" si="120"/>
        <v>10.425372334726239</v>
      </c>
      <c r="EK65" s="19">
        <f t="shared" si="121"/>
        <v>7.8645665916639871</v>
      </c>
      <c r="EL65" s="19">
        <f t="shared" si="122"/>
        <v>0.1714346940962177</v>
      </c>
      <c r="EM65" s="19">
        <f t="shared" si="123"/>
        <v>5.0573234758384222</v>
      </c>
      <c r="EN65" s="19">
        <f t="shared" si="124"/>
        <v>2.5608057430622519</v>
      </c>
      <c r="EO65" s="19">
        <f t="shared" si="125"/>
        <v>99.999999999999972</v>
      </c>
    </row>
    <row r="66" spans="1:145" s="18" customFormat="1" ht="14.5" customHeight="1">
      <c r="A66" s="1" t="s">
        <v>231</v>
      </c>
      <c r="B66" s="1">
        <v>3</v>
      </c>
      <c r="C66" s="12" t="s">
        <v>242</v>
      </c>
      <c r="D66" s="1" t="s">
        <v>241</v>
      </c>
      <c r="E66" s="12" t="s">
        <v>243</v>
      </c>
      <c r="F66" s="45" t="s">
        <v>240</v>
      </c>
      <c r="G66" s="15">
        <v>37.1</v>
      </c>
      <c r="H66" s="15">
        <v>7.54</v>
      </c>
      <c r="I66" s="15">
        <v>8.6300000000000008</v>
      </c>
      <c r="J66" s="15">
        <v>19.38</v>
      </c>
      <c r="K66" s="15">
        <v>0.28000000000000003</v>
      </c>
      <c r="L66" s="15">
        <v>5.49</v>
      </c>
      <c r="M66" s="15">
        <v>6.32</v>
      </c>
      <c r="N66" s="15">
        <v>0.16</v>
      </c>
      <c r="O66" s="15">
        <v>5.38</v>
      </c>
      <c r="P66" s="15">
        <v>3.44</v>
      </c>
      <c r="Q66" s="15">
        <v>6.2800000000000011</v>
      </c>
      <c r="R66" s="15"/>
      <c r="S66" s="15">
        <f t="shared" si="94"/>
        <v>93.72</v>
      </c>
      <c r="T66" s="16"/>
      <c r="U66" s="37"/>
      <c r="V66" s="37"/>
      <c r="AF66" s="19">
        <f t="shared" si="95"/>
        <v>0.3976585814359595</v>
      </c>
      <c r="AG66" s="20">
        <f t="shared" si="96"/>
        <v>45202.3</v>
      </c>
      <c r="AH66" s="20">
        <f t="shared" si="97"/>
        <v>44664.76</v>
      </c>
      <c r="AI66" s="20">
        <f t="shared" si="98"/>
        <v>15012.16</v>
      </c>
      <c r="AJ66" s="19">
        <f t="shared" si="99"/>
        <v>5.54</v>
      </c>
      <c r="AK66" s="19">
        <f t="shared" si="100"/>
        <v>33.625</v>
      </c>
      <c r="AL66" s="19">
        <f t="shared" si="101"/>
        <v>2.9739776951672865E-2</v>
      </c>
      <c r="AM66" s="19">
        <f t="shared" si="102"/>
        <v>0.7323290845886441</v>
      </c>
      <c r="AN66" s="19">
        <f t="shared" si="103"/>
        <v>0.62340672074159897</v>
      </c>
      <c r="AO66" s="19">
        <f t="shared" si="104"/>
        <v>0.70526079863623348</v>
      </c>
      <c r="AP66" s="19">
        <f t="shared" si="105"/>
        <v>1.4179151909955938</v>
      </c>
      <c r="AQ66" s="19">
        <f t="shared" si="106"/>
        <v>0.49098532792064592</v>
      </c>
      <c r="AR66" s="19">
        <f t="shared" si="107"/>
        <v>0.70526079863623348</v>
      </c>
      <c r="AS66" s="20">
        <f t="shared" si="108"/>
        <v>1474.4759030691923</v>
      </c>
      <c r="AT66" s="20">
        <f t="shared" si="109"/>
        <v>1102.5122722359959</v>
      </c>
      <c r="AU66" s="19">
        <f t="shared" si="110"/>
        <v>0.14501347708894877</v>
      </c>
      <c r="AV66" s="19">
        <f t="shared" si="111"/>
        <v>0.67476166928676673</v>
      </c>
      <c r="AX66" s="16">
        <v>80.099999999999994</v>
      </c>
      <c r="AY66" s="16">
        <v>1120</v>
      </c>
      <c r="AZ66" s="16">
        <v>1300</v>
      </c>
      <c r="BA66" s="1">
        <v>2.14</v>
      </c>
      <c r="BB66" s="16">
        <v>25</v>
      </c>
      <c r="BC66" s="16">
        <v>283</v>
      </c>
      <c r="BD66" s="16">
        <v>600</v>
      </c>
      <c r="BF66" s="16">
        <v>400</v>
      </c>
      <c r="BG66" s="16">
        <v>93</v>
      </c>
      <c r="BH66" s="16">
        <v>86</v>
      </c>
      <c r="BI66" s="16">
        <v>26.3</v>
      </c>
      <c r="BJ66" s="16">
        <v>508</v>
      </c>
      <c r="BK66" s="16">
        <v>221</v>
      </c>
      <c r="BL66" s="1">
        <v>12.1</v>
      </c>
      <c r="BM66" s="1">
        <v>15.7</v>
      </c>
      <c r="BN66" s="1">
        <v>285</v>
      </c>
      <c r="BO66" s="1">
        <v>584</v>
      </c>
      <c r="BP66" s="1">
        <v>65.3</v>
      </c>
      <c r="BQ66" s="1">
        <v>236</v>
      </c>
      <c r="BR66" s="1">
        <v>30.4</v>
      </c>
      <c r="BS66" s="1">
        <v>7.17</v>
      </c>
      <c r="BT66" s="1">
        <v>15.7</v>
      </c>
      <c r="BU66" s="1">
        <v>1.75</v>
      </c>
      <c r="BV66" s="1">
        <v>7.73</v>
      </c>
      <c r="BW66" s="1">
        <v>1.08</v>
      </c>
      <c r="BX66" s="1">
        <v>2.2400000000000002</v>
      </c>
      <c r="BY66" s="1">
        <v>0.27</v>
      </c>
      <c r="BZ66" s="1">
        <v>1.45</v>
      </c>
      <c r="CA66" s="1">
        <v>0.19</v>
      </c>
      <c r="CB66" s="1">
        <v>15</v>
      </c>
      <c r="CC66" s="1">
        <v>34.299999999999997</v>
      </c>
      <c r="CD66" s="1">
        <v>4.2699999999999996</v>
      </c>
      <c r="CE66" s="1">
        <v>14.7</v>
      </c>
      <c r="CG66" s="22"/>
      <c r="CH66" s="22">
        <f t="shared" si="132"/>
        <v>919.6850393700787</v>
      </c>
      <c r="CI66" s="22">
        <f t="shared" si="147"/>
        <v>678.08930425752851</v>
      </c>
      <c r="CJ66" s="22">
        <f t="shared" si="133"/>
        <v>491.66666666666669</v>
      </c>
      <c r="CK66" s="22">
        <f t="shared" si="134"/>
        <v>194.87179487179486</v>
      </c>
      <c r="CL66" s="22">
        <v>15.059100000000001</v>
      </c>
      <c r="CM66" s="22">
        <f t="shared" si="148"/>
        <v>74.056603773584911</v>
      </c>
      <c r="CN66" s="22">
        <f t="shared" si="149"/>
        <v>46.542553191489361</v>
      </c>
      <c r="CO66" s="22">
        <f t="shared" si="150"/>
        <v>29.845559845559848</v>
      </c>
      <c r="CP66" s="22">
        <f t="shared" si="151"/>
        <v>18.461538461538463</v>
      </c>
      <c r="CQ66" s="22">
        <f t="shared" si="152"/>
        <v>13.742331288343559</v>
      </c>
      <c r="CR66" s="22">
        <f t="shared" si="153"/>
        <v>10.546875</v>
      </c>
      <c r="CS66" s="22">
        <f t="shared" si="154"/>
        <v>8.7349397590361431</v>
      </c>
      <c r="CT66" s="22">
        <f t="shared" si="155"/>
        <v>7.6</v>
      </c>
      <c r="CU66" s="22">
        <f t="shared" si="135"/>
        <v>5.882352941176471</v>
      </c>
      <c r="CV66" s="22">
        <f t="shared" si="136"/>
        <v>4.5614035087719298</v>
      </c>
      <c r="CW66" s="22">
        <f t="shared" si="137"/>
        <v>1.2895927601809956</v>
      </c>
      <c r="CX66" s="20">
        <f t="shared" si="126"/>
        <v>204.53529411764708</v>
      </c>
      <c r="CY66" s="22">
        <f t="shared" si="156"/>
        <v>38.93333333333333</v>
      </c>
      <c r="CZ66" s="22">
        <f t="shared" si="138"/>
        <v>51.75644028103045</v>
      </c>
      <c r="DA66" s="22">
        <f t="shared" si="139"/>
        <v>2.6348684210526314</v>
      </c>
      <c r="DB66" s="22">
        <f t="shared" si="127"/>
        <v>2.2986425339366514</v>
      </c>
      <c r="DC66" s="22">
        <f t="shared" si="146"/>
        <v>37.900874635568513</v>
      </c>
      <c r="DD66" s="22">
        <f t="shared" si="157"/>
        <v>2.1847133757961781</v>
      </c>
      <c r="DE66" s="22">
        <f t="shared" si="158"/>
        <v>10.827586206896552</v>
      </c>
      <c r="DF66" s="22">
        <f t="shared" si="159"/>
        <v>23.655172413793103</v>
      </c>
      <c r="DG66" s="19">
        <f t="shared" si="112"/>
        <v>8.4030418250950571</v>
      </c>
      <c r="DH66" s="20">
        <f t="shared" si="140"/>
        <v>156.7184561403509</v>
      </c>
      <c r="DI66" s="19">
        <f t="shared" si="141"/>
        <v>1.9820643276712333</v>
      </c>
      <c r="DJ66" s="22">
        <f t="shared" si="160"/>
        <v>1500</v>
      </c>
      <c r="DK66" s="22">
        <f t="shared" si="161"/>
        <v>0</v>
      </c>
      <c r="DL66" s="22">
        <f t="shared" si="142"/>
        <v>0</v>
      </c>
      <c r="DM66" s="22">
        <f t="shared" si="162"/>
        <v>196.55172413793105</v>
      </c>
      <c r="DN66" s="22">
        <f t="shared" si="163"/>
        <v>5.1271186440677963E-2</v>
      </c>
      <c r="DO66" s="22">
        <f t="shared" si="164"/>
        <v>20.96551724137931</v>
      </c>
      <c r="DP66" s="20">
        <f t="shared" si="165"/>
        <v>772.41379310344826</v>
      </c>
      <c r="DQ66" s="22">
        <f t="shared" si="166"/>
        <v>4.7457627118644066</v>
      </c>
      <c r="DR66" s="22">
        <f t="shared" si="167"/>
        <v>11.521223256095475</v>
      </c>
      <c r="DS66" s="19">
        <f t="shared" si="168"/>
        <v>0.99670814124281559</v>
      </c>
      <c r="DT66" s="23">
        <f t="shared" si="169"/>
        <v>8.9285714285714283E-4</v>
      </c>
      <c r="DU66" s="22">
        <f t="shared" si="113"/>
        <v>19.315589353612168</v>
      </c>
      <c r="DV66" s="22">
        <f t="shared" si="170"/>
        <v>14.076433121019109</v>
      </c>
      <c r="DW66" s="22">
        <f t="shared" si="130"/>
        <v>0.1954932347105629</v>
      </c>
      <c r="DX66" s="22">
        <f t="shared" si="114"/>
        <v>43.503937007874015</v>
      </c>
      <c r="DY66" s="22">
        <f t="shared" si="143"/>
        <v>6.7519685039370065</v>
      </c>
      <c r="DZ66" s="19">
        <f t="shared" si="171"/>
        <v>0.60209743308334851</v>
      </c>
      <c r="EA66" s="23">
        <f t="shared" si="144"/>
        <v>7.508771929824562E-3</v>
      </c>
      <c r="EB66" s="19">
        <f t="shared" si="145"/>
        <v>0.15520361990950224</v>
      </c>
      <c r="EC66" s="19">
        <f t="shared" si="172"/>
        <v>0.13190636697697494</v>
      </c>
      <c r="ED66" s="19"/>
      <c r="EE66" s="19">
        <f t="shared" si="115"/>
        <v>39.586000853606485</v>
      </c>
      <c r="EF66" s="19">
        <f t="shared" si="116"/>
        <v>8.0452411438326941</v>
      </c>
      <c r="EG66" s="19">
        <f t="shared" si="117"/>
        <v>9.2082799829278716</v>
      </c>
      <c r="EH66" s="19">
        <f t="shared" si="118"/>
        <v>20.678617157490397</v>
      </c>
      <c r="EI66" s="19">
        <f t="shared" si="119"/>
        <v>0.29876227059325655</v>
      </c>
      <c r="EJ66" s="19">
        <f t="shared" si="120"/>
        <v>5.8578745198463507</v>
      </c>
      <c r="EK66" s="19">
        <f t="shared" si="121"/>
        <v>6.7434912505335038</v>
      </c>
      <c r="EL66" s="19">
        <f t="shared" si="122"/>
        <v>0.17072129748186085</v>
      </c>
      <c r="EM66" s="19">
        <f t="shared" si="123"/>
        <v>5.7405036278275716</v>
      </c>
      <c r="EN66" s="19">
        <f t="shared" si="124"/>
        <v>3.6705078958600086</v>
      </c>
      <c r="EO66" s="19">
        <f t="shared" si="125"/>
        <v>100.00000000000001</v>
      </c>
    </row>
    <row r="67" spans="1:145" s="18" customFormat="1" ht="14.5" customHeight="1">
      <c r="A67" s="1" t="s">
        <v>231</v>
      </c>
      <c r="B67" s="1">
        <v>3</v>
      </c>
      <c r="C67" s="12" t="s">
        <v>242</v>
      </c>
      <c r="D67" s="1" t="s">
        <v>241</v>
      </c>
      <c r="E67" s="12" t="s">
        <v>243</v>
      </c>
      <c r="F67" s="45" t="s">
        <v>240</v>
      </c>
      <c r="G67" s="15">
        <v>36.5</v>
      </c>
      <c r="H67" s="15">
        <v>7.88</v>
      </c>
      <c r="I67" s="15">
        <v>6.97</v>
      </c>
      <c r="J67" s="15">
        <v>19.309999999999999</v>
      </c>
      <c r="K67" s="15">
        <v>0.25</v>
      </c>
      <c r="L67" s="15">
        <v>9.07</v>
      </c>
      <c r="M67" s="15">
        <v>7.19</v>
      </c>
      <c r="N67" s="15">
        <v>0.08</v>
      </c>
      <c r="O67" s="15">
        <v>3.34</v>
      </c>
      <c r="P67" s="15">
        <v>2.4300000000000002</v>
      </c>
      <c r="Q67" s="15">
        <v>7.29</v>
      </c>
      <c r="R67" s="15"/>
      <c r="S67" s="15">
        <f t="shared" si="94"/>
        <v>93.02</v>
      </c>
      <c r="T67" s="16"/>
      <c r="U67" s="37"/>
      <c r="V67" s="37"/>
      <c r="AF67" s="19">
        <f t="shared" si="95"/>
        <v>0.52259257918048085</v>
      </c>
      <c r="AG67" s="20">
        <f t="shared" si="96"/>
        <v>47240.6</v>
      </c>
      <c r="AH67" s="20">
        <f t="shared" si="97"/>
        <v>27728.68</v>
      </c>
      <c r="AI67" s="20">
        <f t="shared" si="98"/>
        <v>10604.52</v>
      </c>
      <c r="AJ67" s="19">
        <f t="shared" si="99"/>
        <v>3.42</v>
      </c>
      <c r="AK67" s="19">
        <f t="shared" si="100"/>
        <v>41.75</v>
      </c>
      <c r="AL67" s="19">
        <f t="shared" si="101"/>
        <v>2.3952095808383235E-2</v>
      </c>
      <c r="AM67" s="19">
        <f t="shared" si="102"/>
        <v>1.0315638450502151</v>
      </c>
      <c r="AN67" s="19">
        <f t="shared" si="103"/>
        <v>0.47919655667144906</v>
      </c>
      <c r="AO67" s="19">
        <f t="shared" si="104"/>
        <v>0.53755322721287446</v>
      </c>
      <c r="AP67" s="19">
        <f t="shared" si="105"/>
        <v>1.8602808975491345</v>
      </c>
      <c r="AQ67" s="19">
        <f t="shared" si="106"/>
        <v>0.41441209814384072</v>
      </c>
      <c r="AR67" s="19">
        <f t="shared" si="107"/>
        <v>0.53755322721287446</v>
      </c>
      <c r="AS67" s="20">
        <f t="shared" si="108"/>
        <v>1705.7725556150679</v>
      </c>
      <c r="AT67" s="20">
        <f t="shared" si="109"/>
        <v>1384.3715472785682</v>
      </c>
      <c r="AU67" s="19">
        <f t="shared" si="110"/>
        <v>9.1506849315068486E-2</v>
      </c>
      <c r="AV67" s="19">
        <f t="shared" si="111"/>
        <v>0.51867177195563641</v>
      </c>
      <c r="AX67" s="16">
        <v>96.3</v>
      </c>
      <c r="AY67" s="16">
        <v>1080</v>
      </c>
      <c r="AZ67" s="16">
        <v>1655</v>
      </c>
      <c r="BA67" s="1">
        <v>2.59</v>
      </c>
      <c r="BB67" s="16">
        <v>25</v>
      </c>
      <c r="BC67" s="16">
        <v>182</v>
      </c>
      <c r="BD67" s="16">
        <v>530</v>
      </c>
      <c r="BF67" s="16">
        <v>395</v>
      </c>
      <c r="BG67" s="16">
        <v>92</v>
      </c>
      <c r="BH67" s="16">
        <v>86</v>
      </c>
      <c r="BI67" s="16">
        <v>27.1</v>
      </c>
      <c r="BJ67" s="16">
        <v>511</v>
      </c>
      <c r="BK67" s="16">
        <v>235</v>
      </c>
      <c r="BL67" s="1">
        <v>12</v>
      </c>
      <c r="BM67" s="1">
        <v>16.3</v>
      </c>
      <c r="BN67" s="1">
        <v>291</v>
      </c>
      <c r="BO67" s="1">
        <v>600</v>
      </c>
      <c r="BP67" s="1">
        <v>66.599999999999994</v>
      </c>
      <c r="BQ67" s="1">
        <v>242</v>
      </c>
      <c r="BR67" s="1">
        <v>31.2</v>
      </c>
      <c r="BS67" s="1">
        <v>7.11</v>
      </c>
      <c r="BT67" s="1">
        <v>16.75</v>
      </c>
      <c r="BU67" s="1">
        <v>1.82</v>
      </c>
      <c r="BV67" s="1">
        <v>7.84</v>
      </c>
      <c r="BW67" s="1">
        <v>1.1399999999999999</v>
      </c>
      <c r="BX67" s="1">
        <v>2.5499999999999998</v>
      </c>
      <c r="BY67" s="1">
        <v>0.28999999999999998</v>
      </c>
      <c r="BZ67" s="1">
        <v>1.28</v>
      </c>
      <c r="CA67" s="1">
        <v>0.17</v>
      </c>
      <c r="CB67" s="1">
        <v>13</v>
      </c>
      <c r="CC67" s="1">
        <v>34.9</v>
      </c>
      <c r="CD67" s="1">
        <v>4.55</v>
      </c>
      <c r="CE67" s="1">
        <v>15.9</v>
      </c>
      <c r="CG67" s="22"/>
      <c r="CH67" s="22">
        <f t="shared" si="132"/>
        <v>944.88188976377955</v>
      </c>
      <c r="CI67" s="22">
        <f t="shared" si="147"/>
        <v>691.58878504672896</v>
      </c>
      <c r="CJ67" s="22">
        <f t="shared" si="133"/>
        <v>504.16666666666669</v>
      </c>
      <c r="CK67" s="22">
        <f t="shared" si="134"/>
        <v>200</v>
      </c>
      <c r="CL67" s="22">
        <v>16.059100000000001</v>
      </c>
      <c r="CM67" s="22">
        <f t="shared" si="148"/>
        <v>79.009433962264154</v>
      </c>
      <c r="CN67" s="22">
        <f t="shared" si="149"/>
        <v>48.404255319148938</v>
      </c>
      <c r="CO67" s="22">
        <f t="shared" si="150"/>
        <v>30.27027027027027</v>
      </c>
      <c r="CP67" s="22">
        <f t="shared" si="151"/>
        <v>19.487179487179485</v>
      </c>
      <c r="CQ67" s="22">
        <f t="shared" si="152"/>
        <v>15.644171779141102</v>
      </c>
      <c r="CR67" s="22">
        <f t="shared" si="153"/>
        <v>11.328124999999998</v>
      </c>
      <c r="CS67" s="22">
        <f t="shared" si="154"/>
        <v>7.7108433734939759</v>
      </c>
      <c r="CT67" s="22">
        <f t="shared" si="155"/>
        <v>6.8</v>
      </c>
      <c r="CU67" s="22">
        <f t="shared" si="135"/>
        <v>7.042553191489362</v>
      </c>
      <c r="CV67" s="22">
        <f t="shared" si="136"/>
        <v>5.6872852233676978</v>
      </c>
      <c r="CW67" s="22">
        <f t="shared" si="137"/>
        <v>1.2382978723404254</v>
      </c>
      <c r="CX67" s="20">
        <f t="shared" si="126"/>
        <v>201.02382978723404</v>
      </c>
      <c r="CY67" s="22">
        <f t="shared" si="156"/>
        <v>46.153846153846153</v>
      </c>
      <c r="CZ67" s="22">
        <f t="shared" si="138"/>
        <v>51.64835164835165</v>
      </c>
      <c r="DA67" s="22">
        <f t="shared" si="139"/>
        <v>3.0865384615384617</v>
      </c>
      <c r="DB67" s="22">
        <f t="shared" si="127"/>
        <v>2.1744680851063829</v>
      </c>
      <c r="DC67" s="22">
        <f t="shared" si="146"/>
        <v>47.421203438395416</v>
      </c>
      <c r="DD67" s="22">
        <f t="shared" si="157"/>
        <v>2.1411042944785272</v>
      </c>
      <c r="DE67" s="22">
        <f t="shared" si="158"/>
        <v>12.734375</v>
      </c>
      <c r="DF67" s="22">
        <f t="shared" si="159"/>
        <v>27.265625</v>
      </c>
      <c r="DG67" s="19">
        <f t="shared" si="112"/>
        <v>8.6715867158671589</v>
      </c>
      <c r="DH67" s="20">
        <f t="shared" si="140"/>
        <v>95.287560137457049</v>
      </c>
      <c r="DI67" s="19">
        <f t="shared" si="141"/>
        <v>2.5913106357265177</v>
      </c>
      <c r="DJ67" s="22">
        <f t="shared" si="160"/>
        <v>1711.7647058823529</v>
      </c>
      <c r="DK67" s="22">
        <f t="shared" si="161"/>
        <v>0</v>
      </c>
      <c r="DL67" s="22">
        <f t="shared" si="142"/>
        <v>0</v>
      </c>
      <c r="DM67" s="22">
        <f t="shared" si="162"/>
        <v>227.34375</v>
      </c>
      <c r="DN67" s="22">
        <f t="shared" si="163"/>
        <v>4.9586776859504134E-2</v>
      </c>
      <c r="DO67" s="22">
        <f t="shared" si="164"/>
        <v>24.375</v>
      </c>
      <c r="DP67" s="20">
        <f t="shared" si="165"/>
        <v>843.75</v>
      </c>
      <c r="DQ67" s="22">
        <f t="shared" si="166"/>
        <v>4.4628099173553721</v>
      </c>
      <c r="DR67" s="22">
        <f t="shared" si="167"/>
        <v>10.617108131437055</v>
      </c>
      <c r="DS67" s="19">
        <f t="shared" si="168"/>
        <v>0.94454002520667513</v>
      </c>
      <c r="DT67" s="23">
        <f t="shared" si="169"/>
        <v>9.2592592592592596E-4</v>
      </c>
      <c r="DU67" s="22">
        <f t="shared" si="113"/>
        <v>18.856088560885606</v>
      </c>
      <c r="DV67" s="22">
        <f t="shared" si="170"/>
        <v>14.417177914110429</v>
      </c>
      <c r="DW67" s="22">
        <f t="shared" si="130"/>
        <v>0.22923148161754137</v>
      </c>
      <c r="DX67" s="22">
        <f t="shared" si="114"/>
        <v>45.988258317025441</v>
      </c>
      <c r="DY67" s="22">
        <f t="shared" si="143"/>
        <v>6.8297455968688849</v>
      </c>
      <c r="DZ67" s="19">
        <f t="shared" si="171"/>
        <v>0.71569634566839468</v>
      </c>
      <c r="EA67" s="23">
        <f t="shared" si="144"/>
        <v>8.9003436426116841E-3</v>
      </c>
      <c r="EB67" s="19">
        <f t="shared" si="145"/>
        <v>0.14851063829787234</v>
      </c>
      <c r="EC67" s="19">
        <f t="shared" si="172"/>
        <v>0.11167812829470619</v>
      </c>
      <c r="ED67" s="19"/>
      <c r="EE67" s="19">
        <f t="shared" si="115"/>
        <v>39.238873360567624</v>
      </c>
      <c r="EF67" s="19">
        <f t="shared" si="116"/>
        <v>8.471296495377338</v>
      </c>
      <c r="EG67" s="19">
        <f t="shared" si="117"/>
        <v>7.4930122554289404</v>
      </c>
      <c r="EH67" s="19">
        <f t="shared" si="118"/>
        <v>20.758976564179743</v>
      </c>
      <c r="EI67" s="19">
        <f t="shared" si="119"/>
        <v>0.26875940657923031</v>
      </c>
      <c r="EJ67" s="19">
        <f t="shared" si="120"/>
        <v>9.7505912706944748</v>
      </c>
      <c r="EK67" s="19">
        <f t="shared" si="121"/>
        <v>7.7295205332186629</v>
      </c>
      <c r="EL67" s="19">
        <f t="shared" si="122"/>
        <v>8.6003010105353689E-2</v>
      </c>
      <c r="EM67" s="19">
        <f t="shared" si="123"/>
        <v>3.5906256718985166</v>
      </c>
      <c r="EN67" s="19">
        <f t="shared" si="124"/>
        <v>2.6123414319501186</v>
      </c>
      <c r="EO67" s="19">
        <f t="shared" si="125"/>
        <v>100.00000000000001</v>
      </c>
    </row>
    <row r="68" spans="1:145" s="18" customFormat="1" ht="14.5" customHeight="1">
      <c r="A68" s="1" t="s">
        <v>231</v>
      </c>
      <c r="B68" s="1">
        <v>3</v>
      </c>
      <c r="C68" s="12" t="s">
        <v>242</v>
      </c>
      <c r="D68" s="1" t="s">
        <v>241</v>
      </c>
      <c r="E68" s="12" t="s">
        <v>243</v>
      </c>
      <c r="F68" s="45" t="s">
        <v>240</v>
      </c>
      <c r="G68" s="15">
        <v>39.4</v>
      </c>
      <c r="H68" s="15">
        <v>6.01</v>
      </c>
      <c r="I68" s="15">
        <v>5.58</v>
      </c>
      <c r="J68" s="15">
        <v>15.42</v>
      </c>
      <c r="K68" s="15">
        <v>0.27</v>
      </c>
      <c r="L68" s="15">
        <v>12.8</v>
      </c>
      <c r="M68" s="15">
        <v>8.1999999999999993</v>
      </c>
      <c r="N68" s="15">
        <v>0.06</v>
      </c>
      <c r="O68" s="15">
        <v>2.58</v>
      </c>
      <c r="P68" s="15">
        <v>2.8</v>
      </c>
      <c r="Q68" s="15">
        <v>6.9000000000000057</v>
      </c>
      <c r="R68" s="15"/>
      <c r="S68" s="15">
        <f t="shared" si="94"/>
        <v>93.11999999999999</v>
      </c>
      <c r="T68" s="16"/>
      <c r="U68" s="37"/>
      <c r="V68" s="37"/>
      <c r="AF68" s="19">
        <f t="shared" si="95"/>
        <v>0.65922950710494843</v>
      </c>
      <c r="AG68" s="20">
        <f t="shared" si="96"/>
        <v>36029.949999999997</v>
      </c>
      <c r="AH68" s="20">
        <f t="shared" si="97"/>
        <v>21419.16</v>
      </c>
      <c r="AI68" s="20">
        <f t="shared" si="98"/>
        <v>12219.199999999999</v>
      </c>
      <c r="AJ68" s="19">
        <f t="shared" si="99"/>
        <v>2.64</v>
      </c>
      <c r="AK68" s="19">
        <f t="shared" si="100"/>
        <v>43</v>
      </c>
      <c r="AL68" s="19">
        <f t="shared" si="101"/>
        <v>2.3255813953488372E-2</v>
      </c>
      <c r="AM68" s="19">
        <f t="shared" si="102"/>
        <v>1.4695340501792111</v>
      </c>
      <c r="AN68" s="19">
        <f t="shared" si="103"/>
        <v>0.4623655913978495</v>
      </c>
      <c r="AO68" s="19">
        <f t="shared" si="104"/>
        <v>0.51814298193626263</v>
      </c>
      <c r="AP68" s="19">
        <f t="shared" si="105"/>
        <v>1.9299692070769205</v>
      </c>
      <c r="AQ68" s="19">
        <f t="shared" si="106"/>
        <v>0.31348672051440812</v>
      </c>
      <c r="AR68" s="19">
        <f t="shared" si="107"/>
        <v>0.51814298193626263</v>
      </c>
      <c r="AS68" s="20">
        <f t="shared" si="108"/>
        <v>2113.0024639602016</v>
      </c>
      <c r="AT68" s="20">
        <f t="shared" si="109"/>
        <v>1683.076882562465</v>
      </c>
      <c r="AU68" s="19">
        <f t="shared" si="110"/>
        <v>6.5482233502538081E-2</v>
      </c>
      <c r="AV68" s="19">
        <f t="shared" si="111"/>
        <v>0.50045430678264047</v>
      </c>
      <c r="AX68" s="16">
        <v>78</v>
      </c>
      <c r="AY68" s="16">
        <v>1195</v>
      </c>
      <c r="AZ68" s="16">
        <v>1310</v>
      </c>
      <c r="BA68" s="1">
        <v>2.2400000000000002</v>
      </c>
      <c r="BB68" s="16">
        <v>26</v>
      </c>
      <c r="BC68" s="16">
        <v>221</v>
      </c>
      <c r="BD68" s="16">
        <v>550</v>
      </c>
      <c r="BF68" s="16">
        <v>413</v>
      </c>
      <c r="BG68" s="16">
        <v>94</v>
      </c>
      <c r="BH68" s="16">
        <v>90</v>
      </c>
      <c r="BI68" s="16">
        <v>28.1</v>
      </c>
      <c r="BJ68" s="16">
        <v>534</v>
      </c>
      <c r="BK68" s="16">
        <v>246</v>
      </c>
      <c r="BL68" s="1">
        <v>12.6</v>
      </c>
      <c r="BM68" s="1">
        <v>17.5</v>
      </c>
      <c r="BN68" s="1">
        <v>314</v>
      </c>
      <c r="BO68" s="1">
        <v>635</v>
      </c>
      <c r="BP68" s="1">
        <v>72.099999999999994</v>
      </c>
      <c r="BQ68" s="1">
        <v>260</v>
      </c>
      <c r="BR68" s="1">
        <v>33.1</v>
      </c>
      <c r="BS68" s="1">
        <v>7.62</v>
      </c>
      <c r="BT68" s="1">
        <v>17.55</v>
      </c>
      <c r="BU68" s="1">
        <v>1.97</v>
      </c>
      <c r="BV68" s="1">
        <v>8.42</v>
      </c>
      <c r="BW68" s="1">
        <v>1.21</v>
      </c>
      <c r="BX68" s="1">
        <v>2.42</v>
      </c>
      <c r="BY68" s="1">
        <v>0.28999999999999998</v>
      </c>
      <c r="BZ68" s="1">
        <v>1.5</v>
      </c>
      <c r="CA68" s="1">
        <v>0.19</v>
      </c>
      <c r="CB68" s="1">
        <v>17</v>
      </c>
      <c r="CC68" s="1">
        <v>38.200000000000003</v>
      </c>
      <c r="CD68" s="1">
        <v>5.0599999999999996</v>
      </c>
      <c r="CE68" s="1">
        <v>15.8</v>
      </c>
      <c r="CG68" s="22"/>
      <c r="CH68" s="22"/>
      <c r="CI68" s="22">
        <f t="shared" si="147"/>
        <v>748.70197300103837</v>
      </c>
      <c r="CJ68" s="22">
        <f t="shared" si="133"/>
        <v>541.66666666666674</v>
      </c>
      <c r="CK68" s="22">
        <f t="shared" si="134"/>
        <v>212.17948717948718</v>
      </c>
      <c r="CL68" s="22">
        <v>17.059100000000001</v>
      </c>
      <c r="CM68" s="22">
        <f t="shared" si="148"/>
        <v>82.78301886792454</v>
      </c>
      <c r="CN68" s="22">
        <f t="shared" si="149"/>
        <v>52.39361702127659</v>
      </c>
      <c r="CO68" s="22">
        <f t="shared" si="150"/>
        <v>32.509652509652511</v>
      </c>
      <c r="CP68" s="22">
        <f t="shared" si="151"/>
        <v>20.683760683760681</v>
      </c>
      <c r="CQ68" s="22">
        <f t="shared" si="152"/>
        <v>14.846625766871165</v>
      </c>
      <c r="CR68" s="22">
        <f t="shared" si="153"/>
        <v>11.328124999999998</v>
      </c>
      <c r="CS68" s="22">
        <f t="shared" si="154"/>
        <v>9.0361445783132517</v>
      </c>
      <c r="CT68" s="22">
        <f t="shared" si="155"/>
        <v>7.6</v>
      </c>
      <c r="CU68" s="22">
        <f t="shared" si="135"/>
        <v>5.3252032520325203</v>
      </c>
      <c r="CV68" s="22">
        <f t="shared" si="136"/>
        <v>4.1719745222929934</v>
      </c>
      <c r="CW68" s="22">
        <f t="shared" si="137"/>
        <v>1.2764227642276422</v>
      </c>
      <c r="CX68" s="20">
        <f t="shared" si="126"/>
        <v>146.4632113821138</v>
      </c>
      <c r="CY68" s="22">
        <f t="shared" si="156"/>
        <v>37.352941176470587</v>
      </c>
      <c r="CZ68" s="22">
        <f t="shared" si="138"/>
        <v>48.616600790513836</v>
      </c>
      <c r="DA68" s="22">
        <f t="shared" si="139"/>
        <v>2.3564954682779455</v>
      </c>
      <c r="DB68" s="22">
        <f t="shared" si="127"/>
        <v>2.1707317073170733</v>
      </c>
      <c r="DC68" s="22">
        <f t="shared" si="146"/>
        <v>34.293193717277482</v>
      </c>
      <c r="DD68" s="22">
        <f t="shared" si="157"/>
        <v>2.1828571428571428</v>
      </c>
      <c r="DE68" s="22">
        <f t="shared" si="158"/>
        <v>11.666666666666666</v>
      </c>
      <c r="DF68" s="22">
        <f t="shared" si="159"/>
        <v>25.466666666666669</v>
      </c>
      <c r="DG68" s="19">
        <f t="shared" si="112"/>
        <v>8.7544483985765122</v>
      </c>
      <c r="DH68" s="20">
        <f t="shared" si="140"/>
        <v>68.213885350318478</v>
      </c>
      <c r="DI68" s="19">
        <f t="shared" si="141"/>
        <v>2.9267157365855656</v>
      </c>
      <c r="DJ68" s="22">
        <f t="shared" si="160"/>
        <v>1652.6315789473683</v>
      </c>
      <c r="DK68" s="22">
        <f t="shared" si="161"/>
        <v>0</v>
      </c>
      <c r="DL68" s="22">
        <f t="shared" si="142"/>
        <v>0</v>
      </c>
      <c r="DM68" s="22">
        <f t="shared" si="162"/>
        <v>209.33333333333334</v>
      </c>
      <c r="DN68" s="22">
        <f t="shared" si="163"/>
        <v>4.8461538461538459E-2</v>
      </c>
      <c r="DO68" s="22">
        <f t="shared" si="164"/>
        <v>22.066666666666666</v>
      </c>
      <c r="DP68" s="20">
        <f t="shared" si="165"/>
        <v>796.66666666666663</v>
      </c>
      <c r="DQ68" s="22">
        <f t="shared" si="166"/>
        <v>4.5961538461538458</v>
      </c>
      <c r="DR68" s="22">
        <f t="shared" si="167"/>
        <v>11.142497253698295</v>
      </c>
      <c r="DS68" s="19">
        <f t="shared" si="168"/>
        <v>0.96014733770418426</v>
      </c>
      <c r="DT68" s="23">
        <f t="shared" si="169"/>
        <v>8.3682008368200832E-4</v>
      </c>
      <c r="DU68" s="22">
        <f t="shared" si="113"/>
        <v>19.003558718861211</v>
      </c>
      <c r="DV68" s="22">
        <f t="shared" si="170"/>
        <v>14.057142857142857</v>
      </c>
      <c r="DW68" s="22">
        <f t="shared" si="130"/>
        <v>0.2268657079212244</v>
      </c>
      <c r="DX68" s="22">
        <f t="shared" si="114"/>
        <v>46.067415730337082</v>
      </c>
      <c r="DY68" s="22">
        <f t="shared" si="143"/>
        <v>7.153558052434458</v>
      </c>
      <c r="DZ68" s="19">
        <f t="shared" si="171"/>
        <v>0.73689053760657952</v>
      </c>
      <c r="EA68" s="23">
        <f t="shared" si="144"/>
        <v>7.1337579617834403E-3</v>
      </c>
      <c r="EB68" s="19">
        <f t="shared" si="145"/>
        <v>0.15528455284552847</v>
      </c>
      <c r="EC68" s="19" t="e">
        <f t="shared" si="172"/>
        <v>#DIV/0!</v>
      </c>
      <c r="ED68" s="19"/>
      <c r="EE68" s="19">
        <f t="shared" si="115"/>
        <v>42.310996563573887</v>
      </c>
      <c r="EF68" s="19">
        <f t="shared" si="116"/>
        <v>6.4540378006872858</v>
      </c>
      <c r="EG68" s="19">
        <f t="shared" si="117"/>
        <v>5.9922680412371143</v>
      </c>
      <c r="EH68" s="19">
        <f t="shared" si="118"/>
        <v>16.559278350515466</v>
      </c>
      <c r="EI68" s="19">
        <f t="shared" si="119"/>
        <v>0.28994845360824745</v>
      </c>
      <c r="EJ68" s="19">
        <f t="shared" si="120"/>
        <v>13.745704467353953</v>
      </c>
      <c r="EK68" s="19">
        <f t="shared" si="121"/>
        <v>8.8058419243986243</v>
      </c>
      <c r="EL68" s="19">
        <f t="shared" si="122"/>
        <v>6.4432989690721656E-2</v>
      </c>
      <c r="EM68" s="19">
        <f t="shared" si="123"/>
        <v>2.7706185567010313</v>
      </c>
      <c r="EN68" s="19">
        <f t="shared" si="124"/>
        <v>3.0068728522336774</v>
      </c>
      <c r="EO68" s="19">
        <f t="shared" si="125"/>
        <v>100.00000000000003</v>
      </c>
    </row>
    <row r="69" spans="1:145" s="18" customFormat="1" ht="14.5" customHeight="1">
      <c r="A69" s="1" t="s">
        <v>231</v>
      </c>
      <c r="B69" s="1">
        <v>3</v>
      </c>
      <c r="C69" s="12" t="s">
        <v>242</v>
      </c>
      <c r="D69" s="1" t="s">
        <v>241</v>
      </c>
      <c r="E69" s="12" t="s">
        <v>243</v>
      </c>
      <c r="F69" s="45" t="s">
        <v>240</v>
      </c>
      <c r="G69" s="15">
        <v>35.4</v>
      </c>
      <c r="H69" s="15">
        <v>7.69</v>
      </c>
      <c r="I69" s="15">
        <v>6.51</v>
      </c>
      <c r="J69" s="15">
        <v>21.1</v>
      </c>
      <c r="K69" s="15">
        <v>0.2</v>
      </c>
      <c r="L69" s="15">
        <v>8.36</v>
      </c>
      <c r="M69" s="15">
        <v>7.65</v>
      </c>
      <c r="N69" s="15">
        <v>0.19</v>
      </c>
      <c r="O69" s="15">
        <v>1.56</v>
      </c>
      <c r="P69" s="15">
        <v>3.78</v>
      </c>
      <c r="Q69" s="15">
        <v>7.6400000000000006</v>
      </c>
      <c r="R69" s="15"/>
      <c r="S69" s="15">
        <f t="shared" ref="S69:S91" si="173">G69+H69+I69+J69+K69+L69+M69+N69+O69+P69</f>
        <v>92.44</v>
      </c>
      <c r="T69" s="16"/>
      <c r="U69" s="37"/>
      <c r="V69" s="37"/>
      <c r="AF69" s="19">
        <f t="shared" ref="AF69:AF91" si="174">(L69/40.31)/((L69/40.31)+(J69-(J69*0.15))*0.8998/71.85)</f>
        <v>0.48007758159218483</v>
      </c>
      <c r="AG69" s="20">
        <f t="shared" ref="AG69:AG91" si="175">H69*5995</f>
        <v>46101.55</v>
      </c>
      <c r="AH69" s="20">
        <f t="shared" ref="AH69:AH91" si="176">O69*8302</f>
        <v>12951.12</v>
      </c>
      <c r="AI69" s="20">
        <f t="shared" ref="AI69:AI91" si="177">P69*4364</f>
        <v>16495.919999999998</v>
      </c>
      <c r="AJ69" s="19">
        <f t="shared" ref="AJ69:AJ91" si="178">N69+O69</f>
        <v>1.75</v>
      </c>
      <c r="AK69" s="19">
        <f t="shared" ref="AK69:AK91" si="179">O69/N69</f>
        <v>8.2105263157894743</v>
      </c>
      <c r="AL69" s="19">
        <f t="shared" ref="AL69:AL91" si="180">N69/O69</f>
        <v>0.12179487179487179</v>
      </c>
      <c r="AM69" s="19">
        <f t="shared" ref="AM69:AM91" si="181">EK69/EG69</f>
        <v>1.1751152073732718</v>
      </c>
      <c r="AN69" s="19">
        <f t="shared" ref="AN69:AN91" si="182">O69/I69</f>
        <v>0.23963133640552997</v>
      </c>
      <c r="AO69" s="19">
        <f t="shared" ref="AO69:AO91" si="183">(EL69/61.98+EM69/94.2)/(EG69/101.96)</f>
        <v>0.30738378557674845</v>
      </c>
      <c r="AP69" s="19">
        <f t="shared" ref="AP69:AP91" si="184">1/AO69</f>
        <v>3.2532620356785773</v>
      </c>
      <c r="AQ69" s="19">
        <f t="shared" ref="AQ69:AQ91" si="185">(EG69/101.96)/((EK69/56.08)+(EL69/61.98)+(EM69/94.2))</f>
        <v>0.40918527776056557</v>
      </c>
      <c r="AR69" s="19">
        <f t="shared" ref="AR69:AR91" si="186">(EL69/61.98+EM69/94.2)/(EG69/101.96)</f>
        <v>0.30738378557674845</v>
      </c>
      <c r="AS69" s="20">
        <f t="shared" ref="AS69:AS91" si="187">1000*(4*(EE69/60.08)-11*(EL69/61.98+EM69/94.2)-2*(EH69/159.69+EF69/79.87))</f>
        <v>1821.880615331811</v>
      </c>
      <c r="AT69" s="20">
        <f t="shared" ref="AT69:AT91" si="188">1000*(6*(EK69/56.08)+2*(EJ69/40.3)+EG69/101.96)</f>
        <v>1403.2999942283702</v>
      </c>
      <c r="AU69" s="19">
        <f t="shared" ref="AU69:AU91" si="189">O69/G69</f>
        <v>4.4067796610169498E-2</v>
      </c>
      <c r="AV69" s="19">
        <f t="shared" ref="AV69:AV91" si="190">(O69/94.2)/(I69/101.96)</f>
        <v>0.25937166730263089</v>
      </c>
      <c r="AX69" s="16">
        <v>100</v>
      </c>
      <c r="AY69" s="16">
        <v>1170</v>
      </c>
      <c r="AZ69" s="16">
        <v>1165</v>
      </c>
      <c r="BA69" s="1">
        <v>2.4700000000000002</v>
      </c>
      <c r="BB69" s="16">
        <v>27</v>
      </c>
      <c r="BC69" s="16">
        <v>332</v>
      </c>
      <c r="BD69" s="16">
        <v>330</v>
      </c>
      <c r="BF69" s="16">
        <v>316</v>
      </c>
      <c r="BG69" s="16">
        <v>117</v>
      </c>
      <c r="BH69" s="16">
        <v>100</v>
      </c>
      <c r="BI69" s="16">
        <v>29.5</v>
      </c>
      <c r="BJ69" s="16">
        <v>587</v>
      </c>
      <c r="BK69" s="16">
        <v>273</v>
      </c>
      <c r="BL69" s="1">
        <v>13.9</v>
      </c>
      <c r="BM69" s="1">
        <v>15.1</v>
      </c>
      <c r="BN69" s="1">
        <v>281</v>
      </c>
      <c r="BO69" s="1">
        <v>524</v>
      </c>
      <c r="BP69" s="1">
        <v>57.9</v>
      </c>
      <c r="BQ69" s="1">
        <v>211</v>
      </c>
      <c r="BR69" s="1">
        <v>29.4</v>
      </c>
      <c r="BS69" s="1">
        <v>6.94</v>
      </c>
      <c r="BT69" s="1">
        <v>16.5</v>
      </c>
      <c r="BU69" s="1">
        <v>1.91</v>
      </c>
      <c r="BV69" s="1">
        <v>8.57</v>
      </c>
      <c r="BW69" s="1">
        <v>1.2</v>
      </c>
      <c r="BX69" s="1">
        <v>2.56</v>
      </c>
      <c r="BY69" s="1">
        <v>0.28999999999999998</v>
      </c>
      <c r="BZ69" s="1">
        <v>1.55</v>
      </c>
      <c r="CA69" s="1">
        <v>0.2</v>
      </c>
      <c r="CB69" s="1">
        <v>21</v>
      </c>
      <c r="CC69" s="1">
        <v>26.7</v>
      </c>
      <c r="CD69" s="1">
        <v>5.26</v>
      </c>
      <c r="CE69" s="1">
        <v>16.899999999999999</v>
      </c>
      <c r="CG69" s="22"/>
      <c r="CH69" s="22">
        <f t="shared" ref="CH69:CH83" si="191">BO69/0.635</f>
        <v>825.19685039370074</v>
      </c>
      <c r="CI69" s="22">
        <f t="shared" si="147"/>
        <v>601.24610591900307</v>
      </c>
      <c r="CJ69" s="22">
        <f t="shared" si="133"/>
        <v>439.58333333333337</v>
      </c>
      <c r="CK69" s="22">
        <f t="shared" si="134"/>
        <v>188.46153846153845</v>
      </c>
      <c r="CL69" s="22">
        <v>18.059100000000001</v>
      </c>
      <c r="CM69" s="22">
        <f t="shared" si="148"/>
        <v>77.830188679245282</v>
      </c>
      <c r="CN69" s="22">
        <f t="shared" si="149"/>
        <v>50.797872340425528</v>
      </c>
      <c r="CO69" s="22">
        <f t="shared" si="150"/>
        <v>33.08880308880309</v>
      </c>
      <c r="CP69" s="22">
        <f t="shared" si="151"/>
        <v>20.512820512820511</v>
      </c>
      <c r="CQ69" s="22">
        <f t="shared" si="152"/>
        <v>15.705521472392638</v>
      </c>
      <c r="CR69" s="22">
        <f t="shared" si="153"/>
        <v>11.328124999999998</v>
      </c>
      <c r="CS69" s="22">
        <f t="shared" si="154"/>
        <v>9.3373493975903621</v>
      </c>
      <c r="CT69" s="22">
        <f t="shared" si="155"/>
        <v>8</v>
      </c>
      <c r="CU69" s="22">
        <f t="shared" si="135"/>
        <v>4.2673992673992673</v>
      </c>
      <c r="CV69" s="22">
        <f t="shared" si="136"/>
        <v>4.1459074733096086</v>
      </c>
      <c r="CW69" s="22">
        <f t="shared" si="137"/>
        <v>1.0293040293040292</v>
      </c>
      <c r="CX69" s="20">
        <f t="shared" si="126"/>
        <v>168.87014652014653</v>
      </c>
      <c r="CY69" s="22">
        <f t="shared" si="156"/>
        <v>24.952380952380953</v>
      </c>
      <c r="CZ69" s="22">
        <f t="shared" si="138"/>
        <v>51.901140684410649</v>
      </c>
      <c r="DA69" s="22">
        <f t="shared" si="139"/>
        <v>3.4013605442176873</v>
      </c>
      <c r="DB69" s="22">
        <f t="shared" si="127"/>
        <v>2.1501831501831501</v>
      </c>
      <c r="DC69" s="22">
        <f t="shared" si="146"/>
        <v>43.632958801498127</v>
      </c>
      <c r="DD69" s="22">
        <f t="shared" si="157"/>
        <v>1.7682119205298013</v>
      </c>
      <c r="DE69" s="22">
        <f t="shared" si="158"/>
        <v>9.741935483870968</v>
      </c>
      <c r="DF69" s="22">
        <f t="shared" si="159"/>
        <v>17.225806451612904</v>
      </c>
      <c r="DG69" s="19">
        <f t="shared" ref="DG69:DG76" si="192">BK69/BI69</f>
        <v>9.2542372881355934</v>
      </c>
      <c r="DH69" s="20">
        <f t="shared" si="140"/>
        <v>46.089395017793599</v>
      </c>
      <c r="DI69" s="19">
        <f t="shared" si="141"/>
        <v>4.0967364202990328</v>
      </c>
      <c r="DJ69" s="22">
        <f t="shared" si="160"/>
        <v>1405</v>
      </c>
      <c r="DK69" s="22">
        <f t="shared" si="161"/>
        <v>0</v>
      </c>
      <c r="DL69" s="22">
        <f t="shared" si="142"/>
        <v>0</v>
      </c>
      <c r="DM69" s="22">
        <f t="shared" si="162"/>
        <v>181.29032258064515</v>
      </c>
      <c r="DN69" s="22">
        <f t="shared" si="163"/>
        <v>6.5876777251184834E-2</v>
      </c>
      <c r="DO69" s="22">
        <f t="shared" si="164"/>
        <v>18.967741935483868</v>
      </c>
      <c r="DP69" s="20">
        <f t="shared" si="165"/>
        <v>754.83870967741939</v>
      </c>
      <c r="DQ69" s="22">
        <f t="shared" si="166"/>
        <v>5.5450236966824642</v>
      </c>
      <c r="DR69" s="22">
        <f t="shared" si="167"/>
        <v>11.938160466532327</v>
      </c>
      <c r="DS69" s="19">
        <f t="shared" si="168"/>
        <v>0.95692808544391716</v>
      </c>
      <c r="DT69" s="23">
        <f t="shared" si="169"/>
        <v>8.547008547008547E-4</v>
      </c>
      <c r="DU69" s="22">
        <f t="shared" ref="DU69:DU83" si="193">BJ69/BI69</f>
        <v>19.898305084745761</v>
      </c>
      <c r="DV69" s="22">
        <f t="shared" si="170"/>
        <v>18.079470198675498</v>
      </c>
      <c r="DW69" s="22">
        <f t="shared" si="130"/>
        <v>0.21261374734524674</v>
      </c>
      <c r="DX69" s="22">
        <f t="shared" ref="DX69:DX83" si="194">BK69*100/BJ69</f>
        <v>46.507666098807498</v>
      </c>
      <c r="DY69" s="22">
        <f t="shared" si="143"/>
        <v>4.5485519591141399</v>
      </c>
      <c r="DZ69" s="19">
        <f t="shared" si="171"/>
        <v>0.70731950870419069</v>
      </c>
      <c r="EA69" s="23">
        <f t="shared" si="144"/>
        <v>8.7900355871886136E-3</v>
      </c>
      <c r="EB69" s="19">
        <f t="shared" si="145"/>
        <v>9.7802197802197802E-2</v>
      </c>
      <c r="EC69" s="19">
        <f t="shared" si="172"/>
        <v>0.20703886753889642</v>
      </c>
      <c r="ED69" s="19"/>
      <c r="EE69" s="19">
        <f t="shared" ref="EE69:EE91" si="195">100*G69/($G69+$H69+$I69+$J69+$K69+$L69+$M69+$N69+$O69+$P69)</f>
        <v>38.295110341843362</v>
      </c>
      <c r="EF69" s="19">
        <f t="shared" ref="EF69:EF91" si="196">100*H69/($G69+$H69+$I69+$J69+$K69+$L69+$M69+$N69+$O69+$P69)</f>
        <v>8.3189095629597585</v>
      </c>
      <c r="EG69" s="19">
        <f t="shared" ref="EG69:EG91" si="197">100*I69/($G69+$H69+$I69+$J69+$K69+$L69+$M69+$N69+$O69+$P69)</f>
        <v>7.0424058848983124</v>
      </c>
      <c r="EH69" s="19">
        <f t="shared" ref="EH69:EH91" si="198">100*J69/($G69+$H69+$I69+$J69+$K69+$L69+$M69+$N69+$O69+$P69)</f>
        <v>22.825616616183471</v>
      </c>
      <c r="EI69" s="19">
        <f t="shared" ref="EI69:EI91" si="199">100*K69/($G69+$H69+$I69+$J69+$K69+$L69+$M69+$N69+$O69+$P69)</f>
        <v>0.21635655560363479</v>
      </c>
      <c r="EJ69" s="19">
        <f t="shared" ref="EJ69:EJ91" si="200">100*L69/($G69+$H69+$I69+$J69+$K69+$L69+$M69+$N69+$O69+$P69)</f>
        <v>9.0437040242319338</v>
      </c>
      <c r="EK69" s="19">
        <f t="shared" ref="EK69:EK91" si="201">100*M69/($G69+$H69+$I69+$J69+$K69+$L69+$M69+$N69+$O69+$P69)</f>
        <v>8.2756382518390303</v>
      </c>
      <c r="EL69" s="19">
        <f t="shared" ref="EL69:EL91" si="202">100*N69/($G69+$H69+$I69+$J69+$K69+$L69+$M69+$N69+$O69+$P69)</f>
        <v>0.20553872782345306</v>
      </c>
      <c r="EM69" s="19">
        <f t="shared" ref="EM69:EM91" si="203">100*O69/($G69+$H69+$I69+$J69+$K69+$L69+$M69+$N69+$O69+$P69)</f>
        <v>1.6875811337083515</v>
      </c>
      <c r="EN69" s="19">
        <f t="shared" ref="EN69:EN91" si="204">100*P69/($G69+$H69+$I69+$J69+$K69+$L69+$M69+$N69+$O69+$P69)</f>
        <v>4.089138900908698</v>
      </c>
      <c r="EO69" s="19">
        <f t="shared" ref="EO69:EO91" si="205">SUM(EE69:EN69)</f>
        <v>100</v>
      </c>
    </row>
    <row r="70" spans="1:145" s="18" customFormat="1" ht="14.5" customHeight="1">
      <c r="A70" s="1" t="s">
        <v>231</v>
      </c>
      <c r="B70" s="1">
        <v>3</v>
      </c>
      <c r="C70" s="12" t="s">
        <v>242</v>
      </c>
      <c r="D70" s="1" t="s">
        <v>241</v>
      </c>
      <c r="E70" s="12" t="s">
        <v>243</v>
      </c>
      <c r="F70" s="45" t="s">
        <v>240</v>
      </c>
      <c r="G70" s="15">
        <v>33.5</v>
      </c>
      <c r="H70" s="15">
        <v>5.96</v>
      </c>
      <c r="I70" s="15">
        <v>5.27</v>
      </c>
      <c r="J70" s="15">
        <v>16.690000000000001</v>
      </c>
      <c r="K70" s="15">
        <v>0.2</v>
      </c>
      <c r="L70" s="15">
        <v>11.35</v>
      </c>
      <c r="M70" s="15">
        <v>12.2</v>
      </c>
      <c r="N70" s="15">
        <v>0.05</v>
      </c>
      <c r="O70" s="15">
        <v>3.39</v>
      </c>
      <c r="P70" s="15">
        <v>2.29</v>
      </c>
      <c r="Q70" s="15">
        <v>9.039999999999992</v>
      </c>
      <c r="R70" s="15"/>
      <c r="S70" s="15">
        <f t="shared" si="173"/>
        <v>90.9</v>
      </c>
      <c r="T70" s="16"/>
      <c r="U70" s="37"/>
      <c r="V70" s="37"/>
      <c r="AF70" s="19">
        <f t="shared" si="174"/>
        <v>0.61313058536035903</v>
      </c>
      <c r="AG70" s="20">
        <f t="shared" si="175"/>
        <v>35730.199999999997</v>
      </c>
      <c r="AH70" s="20">
        <f t="shared" si="176"/>
        <v>28143.780000000002</v>
      </c>
      <c r="AI70" s="20">
        <f t="shared" si="177"/>
        <v>9993.56</v>
      </c>
      <c r="AJ70" s="19">
        <f t="shared" si="178"/>
        <v>3.44</v>
      </c>
      <c r="AK70" s="19">
        <f t="shared" si="179"/>
        <v>67.8</v>
      </c>
      <c r="AL70" s="19">
        <f t="shared" si="180"/>
        <v>1.4749262536873156E-2</v>
      </c>
      <c r="AM70" s="19">
        <f t="shared" si="181"/>
        <v>2.3149905123339658</v>
      </c>
      <c r="AN70" s="19">
        <f t="shared" si="182"/>
        <v>0.64326375711574957</v>
      </c>
      <c r="AO70" s="19">
        <f t="shared" si="183"/>
        <v>0.71186214154860683</v>
      </c>
      <c r="AP70" s="19">
        <f t="shared" si="184"/>
        <v>1.4047663748834418</v>
      </c>
      <c r="AQ70" s="19">
        <f t="shared" si="185"/>
        <v>0.20321957972803711</v>
      </c>
      <c r="AR70" s="19">
        <f t="shared" si="186"/>
        <v>0.71186214154860683</v>
      </c>
      <c r="AS70" s="20">
        <f t="shared" si="187"/>
        <v>1614.2500583606388</v>
      </c>
      <c r="AT70" s="20">
        <f t="shared" si="188"/>
        <v>2112.4758463516177</v>
      </c>
      <c r="AU70" s="19">
        <f t="shared" si="189"/>
        <v>0.10119402985074627</v>
      </c>
      <c r="AV70" s="19">
        <f t="shared" si="190"/>
        <v>0.69625448700129322</v>
      </c>
      <c r="AX70" s="16">
        <v>68.900000000000006</v>
      </c>
      <c r="AY70" s="16">
        <v>1265</v>
      </c>
      <c r="AZ70" s="16">
        <v>684</v>
      </c>
      <c r="BA70" s="1">
        <v>0.96</v>
      </c>
      <c r="BB70" s="16">
        <v>26</v>
      </c>
      <c r="BC70" s="16">
        <v>302</v>
      </c>
      <c r="BD70" s="16">
        <v>680</v>
      </c>
      <c r="BF70" s="16">
        <v>523</v>
      </c>
      <c r="BG70" s="16">
        <v>101</v>
      </c>
      <c r="BH70" s="16">
        <v>94</v>
      </c>
      <c r="BI70" s="16">
        <v>25.4</v>
      </c>
      <c r="BJ70" s="16">
        <v>509</v>
      </c>
      <c r="BK70" s="16">
        <v>234</v>
      </c>
      <c r="BL70" s="1">
        <v>11.8</v>
      </c>
      <c r="BM70" s="1">
        <v>15.9</v>
      </c>
      <c r="BN70" s="1">
        <v>283</v>
      </c>
      <c r="BO70" s="1">
        <v>584</v>
      </c>
      <c r="BP70" s="1">
        <v>65.2</v>
      </c>
      <c r="BQ70" s="1">
        <v>233</v>
      </c>
      <c r="BR70" s="1">
        <v>30.1</v>
      </c>
      <c r="BS70" s="1">
        <v>6.63</v>
      </c>
      <c r="BT70" s="1">
        <v>14.3</v>
      </c>
      <c r="BU70" s="1">
        <v>1.64</v>
      </c>
      <c r="BV70" s="1">
        <v>7.15</v>
      </c>
      <c r="BW70" s="1">
        <v>1.02</v>
      </c>
      <c r="BX70" s="1">
        <v>2.02</v>
      </c>
      <c r="BY70" s="1">
        <v>0.24</v>
      </c>
      <c r="BZ70" s="1">
        <v>1.31</v>
      </c>
      <c r="CA70" s="1">
        <v>0.17</v>
      </c>
      <c r="CB70" s="1">
        <v>17</v>
      </c>
      <c r="CC70" s="1">
        <v>36.9</v>
      </c>
      <c r="CD70" s="1">
        <v>5.09</v>
      </c>
      <c r="CE70" s="1">
        <v>22.1</v>
      </c>
      <c r="CG70" s="22"/>
      <c r="CH70" s="22">
        <f t="shared" si="191"/>
        <v>919.6850393700787</v>
      </c>
      <c r="CI70" s="22">
        <f t="shared" si="147"/>
        <v>677.05088265835934</v>
      </c>
      <c r="CJ70" s="22">
        <f t="shared" si="133"/>
        <v>485.41666666666669</v>
      </c>
      <c r="CK70" s="22">
        <f t="shared" si="134"/>
        <v>192.94871794871796</v>
      </c>
      <c r="CL70" s="22">
        <v>19.059100000000001</v>
      </c>
      <c r="CM70" s="22">
        <f t="shared" si="148"/>
        <v>67.452830188679258</v>
      </c>
      <c r="CN70" s="22">
        <f t="shared" si="149"/>
        <v>43.617021276595743</v>
      </c>
      <c r="CO70" s="22">
        <f t="shared" si="150"/>
        <v>27.606177606177607</v>
      </c>
      <c r="CP70" s="22">
        <f t="shared" si="151"/>
        <v>17.435897435897434</v>
      </c>
      <c r="CQ70" s="22">
        <f t="shared" si="152"/>
        <v>12.392638036809815</v>
      </c>
      <c r="CR70" s="22">
        <f t="shared" si="153"/>
        <v>9.375</v>
      </c>
      <c r="CS70" s="22">
        <f t="shared" si="154"/>
        <v>7.8915662650602405</v>
      </c>
      <c r="CT70" s="22">
        <f t="shared" si="155"/>
        <v>6.8</v>
      </c>
      <c r="CU70" s="22">
        <f t="shared" si="135"/>
        <v>2.9230769230769229</v>
      </c>
      <c r="CV70" s="22">
        <f t="shared" si="136"/>
        <v>2.4169611307420493</v>
      </c>
      <c r="CW70" s="22">
        <f t="shared" si="137"/>
        <v>1.2094017094017093</v>
      </c>
      <c r="CX70" s="20">
        <f t="shared" si="126"/>
        <v>152.69316239316237</v>
      </c>
      <c r="CY70" s="22">
        <f t="shared" si="156"/>
        <v>34.352941176470587</v>
      </c>
      <c r="CZ70" s="22">
        <f t="shared" si="138"/>
        <v>45.972495088408643</v>
      </c>
      <c r="DA70" s="22">
        <f t="shared" si="139"/>
        <v>2.2890365448504983</v>
      </c>
      <c r="DB70" s="22">
        <f t="shared" si="127"/>
        <v>2.175213675213675</v>
      </c>
      <c r="DC70" s="22">
        <f t="shared" si="146"/>
        <v>18.536585365853661</v>
      </c>
      <c r="DD70" s="22">
        <f t="shared" si="157"/>
        <v>2.3207547169811318</v>
      </c>
      <c r="DE70" s="22">
        <f t="shared" si="158"/>
        <v>12.137404580152671</v>
      </c>
      <c r="DF70" s="22">
        <f t="shared" si="159"/>
        <v>28.167938931297709</v>
      </c>
      <c r="DG70" s="19">
        <f t="shared" si="192"/>
        <v>9.2125984251968518</v>
      </c>
      <c r="DH70" s="20">
        <f t="shared" si="140"/>
        <v>99.447985865724391</v>
      </c>
      <c r="DI70" s="19">
        <f t="shared" si="141"/>
        <v>2.4215177908953565</v>
      </c>
      <c r="DJ70" s="22">
        <f t="shared" si="160"/>
        <v>1664.705882352941</v>
      </c>
      <c r="DK70" s="22">
        <f t="shared" si="161"/>
        <v>0</v>
      </c>
      <c r="DL70" s="22">
        <f t="shared" si="142"/>
        <v>0</v>
      </c>
      <c r="DM70" s="22">
        <f t="shared" si="162"/>
        <v>216.03053435114504</v>
      </c>
      <c r="DN70" s="22">
        <f t="shared" si="163"/>
        <v>5.0643776824034335E-2</v>
      </c>
      <c r="DO70" s="22">
        <f t="shared" si="164"/>
        <v>22.977099236641223</v>
      </c>
      <c r="DP70" s="20">
        <f t="shared" si="165"/>
        <v>965.64885496183206</v>
      </c>
      <c r="DQ70" s="22">
        <f t="shared" si="166"/>
        <v>5.429184549356223</v>
      </c>
      <c r="DR70" s="22">
        <f t="shared" si="167"/>
        <v>13.7027093739175</v>
      </c>
      <c r="DS70" s="19">
        <f t="shared" si="168"/>
        <v>0.97050489423216557</v>
      </c>
      <c r="DT70" s="23">
        <f t="shared" si="169"/>
        <v>7.9051383399209485E-4</v>
      </c>
      <c r="DU70" s="22">
        <f t="shared" si="193"/>
        <v>20.039370078740159</v>
      </c>
      <c r="DV70" s="22">
        <f t="shared" si="170"/>
        <v>14.716981132075471</v>
      </c>
      <c r="DW70" s="22">
        <f t="shared" si="130"/>
        <v>0.20476473461390965</v>
      </c>
      <c r="DX70" s="22">
        <f t="shared" si="194"/>
        <v>45.972495088408643</v>
      </c>
      <c r="DY70" s="22">
        <f t="shared" si="143"/>
        <v>7.2495088408644399</v>
      </c>
      <c r="DZ70" s="19">
        <f t="shared" si="171"/>
        <v>1.0609756627836697</v>
      </c>
      <c r="EA70" s="23">
        <f t="shared" si="144"/>
        <v>3.3922261484098937E-3</v>
      </c>
      <c r="EB70" s="19">
        <f t="shared" si="145"/>
        <v>0.15769230769230769</v>
      </c>
      <c r="EC70" s="19">
        <f t="shared" si="172"/>
        <v>0.14960848119753672</v>
      </c>
      <c r="ED70" s="19"/>
      <c r="EE70" s="19">
        <f t="shared" si="195"/>
        <v>36.853685368536851</v>
      </c>
      <c r="EF70" s="19">
        <f t="shared" si="196"/>
        <v>6.5566556655665567</v>
      </c>
      <c r="EG70" s="19">
        <f t="shared" si="197"/>
        <v>5.7975797579757975</v>
      </c>
      <c r="EH70" s="19">
        <f t="shared" si="198"/>
        <v>18.360836083608362</v>
      </c>
      <c r="EI70" s="19">
        <f t="shared" si="199"/>
        <v>0.22002200220022</v>
      </c>
      <c r="EJ70" s="19">
        <f t="shared" si="200"/>
        <v>12.486248624862485</v>
      </c>
      <c r="EK70" s="19">
        <f t="shared" si="201"/>
        <v>13.42134213421342</v>
      </c>
      <c r="EL70" s="19">
        <f t="shared" si="202"/>
        <v>5.5005500550055E-2</v>
      </c>
      <c r="EM70" s="19">
        <f t="shared" si="203"/>
        <v>3.729372937293729</v>
      </c>
      <c r="EN70" s="19">
        <f t="shared" si="204"/>
        <v>2.5192519251925192</v>
      </c>
      <c r="EO70" s="19">
        <f t="shared" si="205"/>
        <v>100</v>
      </c>
    </row>
    <row r="71" spans="1:145" s="18" customFormat="1" ht="14.5" customHeight="1">
      <c r="A71" s="1" t="s">
        <v>231</v>
      </c>
      <c r="B71" s="1">
        <v>3</v>
      </c>
      <c r="C71" s="12" t="s">
        <v>242</v>
      </c>
      <c r="D71" s="1" t="s">
        <v>241</v>
      </c>
      <c r="E71" s="12" t="s">
        <v>243</v>
      </c>
      <c r="F71" s="45" t="s">
        <v>240</v>
      </c>
      <c r="G71" s="15">
        <v>36.200000000000003</v>
      </c>
      <c r="H71" s="15">
        <v>4.74</v>
      </c>
      <c r="I71" s="15">
        <v>4.34</v>
      </c>
      <c r="J71" s="15">
        <v>14.04</v>
      </c>
      <c r="K71" s="15">
        <v>0.21</v>
      </c>
      <c r="L71" s="15">
        <v>15.5</v>
      </c>
      <c r="M71" s="15">
        <v>14.3</v>
      </c>
      <c r="N71" s="15">
        <v>0.12</v>
      </c>
      <c r="O71" s="15">
        <v>1.56</v>
      </c>
      <c r="P71" s="15">
        <v>2.1800000000000002</v>
      </c>
      <c r="Q71" s="15">
        <v>7.42</v>
      </c>
      <c r="R71" s="15"/>
      <c r="S71" s="15">
        <f t="shared" si="173"/>
        <v>93.190000000000012</v>
      </c>
      <c r="T71" s="16"/>
      <c r="U71" s="37"/>
      <c r="V71" s="37"/>
      <c r="AF71" s="19">
        <f t="shared" si="174"/>
        <v>0.72011101652744947</v>
      </c>
      <c r="AG71" s="20">
        <f t="shared" si="175"/>
        <v>28416.300000000003</v>
      </c>
      <c r="AH71" s="20">
        <f t="shared" si="176"/>
        <v>12951.12</v>
      </c>
      <c r="AI71" s="20">
        <f t="shared" si="177"/>
        <v>9513.52</v>
      </c>
      <c r="AJ71" s="19">
        <f t="shared" si="178"/>
        <v>1.6800000000000002</v>
      </c>
      <c r="AK71" s="19">
        <f t="shared" si="179"/>
        <v>13.000000000000002</v>
      </c>
      <c r="AL71" s="19">
        <f t="shared" si="180"/>
        <v>7.6923076923076913E-2</v>
      </c>
      <c r="AM71" s="19">
        <f t="shared" si="181"/>
        <v>3.2949308755760365</v>
      </c>
      <c r="AN71" s="19">
        <f t="shared" si="182"/>
        <v>0.35944700460829493</v>
      </c>
      <c r="AO71" s="19">
        <f t="shared" si="183"/>
        <v>0.43454266563468918</v>
      </c>
      <c r="AP71" s="19">
        <f t="shared" si="184"/>
        <v>2.3012699996659909</v>
      </c>
      <c r="AQ71" s="19">
        <f t="shared" si="185"/>
        <v>0.15563929997494949</v>
      </c>
      <c r="AR71" s="19">
        <f t="shared" si="186"/>
        <v>0.43454266563468918</v>
      </c>
      <c r="AS71" s="20">
        <f t="shared" si="187"/>
        <v>2051.8547861485936</v>
      </c>
      <c r="AT71" s="20">
        <f t="shared" si="188"/>
        <v>2512.8808726998623</v>
      </c>
      <c r="AU71" s="19">
        <f t="shared" si="189"/>
        <v>4.3093922651933701E-2</v>
      </c>
      <c r="AV71" s="19">
        <f t="shared" si="190"/>
        <v>0.38905750095394637</v>
      </c>
      <c r="AX71" s="16">
        <v>85</v>
      </c>
      <c r="AY71" s="16">
        <v>1800</v>
      </c>
      <c r="AZ71" s="16">
        <v>1580</v>
      </c>
      <c r="BA71" s="1">
        <v>1.01</v>
      </c>
      <c r="BB71" s="16">
        <v>22</v>
      </c>
      <c r="BC71" s="16">
        <v>187</v>
      </c>
      <c r="BD71" s="16">
        <v>610</v>
      </c>
      <c r="BF71" s="16">
        <v>489</v>
      </c>
      <c r="BG71" s="16">
        <v>88</v>
      </c>
      <c r="BH71" s="16">
        <v>84</v>
      </c>
      <c r="BI71" s="16">
        <v>21.1</v>
      </c>
      <c r="BJ71" s="16">
        <v>487</v>
      </c>
      <c r="BK71" s="16">
        <v>175</v>
      </c>
      <c r="BL71" s="1">
        <v>11.5</v>
      </c>
      <c r="BM71" s="1">
        <v>11.3</v>
      </c>
      <c r="BN71" s="1">
        <v>207</v>
      </c>
      <c r="BO71" s="1">
        <v>400</v>
      </c>
      <c r="BP71" s="1">
        <v>45.8</v>
      </c>
      <c r="BQ71" s="1">
        <v>167</v>
      </c>
      <c r="BR71" s="1">
        <v>20.7</v>
      </c>
      <c r="BS71" s="1">
        <v>5.19</v>
      </c>
      <c r="BT71" s="1">
        <v>11.85</v>
      </c>
      <c r="BU71" s="1">
        <v>1.27</v>
      </c>
      <c r="BV71" s="1">
        <v>5.46</v>
      </c>
      <c r="BW71" s="1">
        <v>0.85</v>
      </c>
      <c r="BX71" s="1">
        <v>1.82</v>
      </c>
      <c r="BY71" s="1">
        <v>0.24</v>
      </c>
      <c r="BZ71" s="1">
        <v>1.18</v>
      </c>
      <c r="CA71" s="1">
        <v>0.13</v>
      </c>
      <c r="CB71" s="1">
        <v>18</v>
      </c>
      <c r="CC71" s="1">
        <v>22.8</v>
      </c>
      <c r="CD71" s="1">
        <v>3.57</v>
      </c>
      <c r="CE71" s="1">
        <v>16.2</v>
      </c>
      <c r="CG71" s="22">
        <f>BN71/0.242</f>
        <v>855.37190082644634</v>
      </c>
      <c r="CH71" s="22">
        <f t="shared" si="191"/>
        <v>629.9212598425197</v>
      </c>
      <c r="CI71" s="22">
        <f t="shared" si="147"/>
        <v>475.59709241952231</v>
      </c>
      <c r="CJ71" s="22">
        <f t="shared" si="133"/>
        <v>347.91666666666669</v>
      </c>
      <c r="CK71" s="22">
        <f t="shared" si="134"/>
        <v>132.69230769230768</v>
      </c>
      <c r="CL71" s="22">
        <v>20.059100000000001</v>
      </c>
      <c r="CM71" s="22">
        <f t="shared" si="148"/>
        <v>55.89622641509434</v>
      </c>
      <c r="CN71" s="22">
        <f t="shared" si="149"/>
        <v>33.776595744680847</v>
      </c>
      <c r="CO71" s="22">
        <f t="shared" si="150"/>
        <v>21.081081081081081</v>
      </c>
      <c r="CP71" s="22">
        <f t="shared" si="151"/>
        <v>14.529914529914528</v>
      </c>
      <c r="CQ71" s="22">
        <f t="shared" si="152"/>
        <v>11.165644171779141</v>
      </c>
      <c r="CR71" s="22">
        <f t="shared" si="153"/>
        <v>9.375</v>
      </c>
      <c r="CS71" s="22">
        <f t="shared" si="154"/>
        <v>7.1084337349397586</v>
      </c>
      <c r="CT71" s="22">
        <f t="shared" si="155"/>
        <v>5.2</v>
      </c>
      <c r="CU71" s="22">
        <f t="shared" si="135"/>
        <v>9.0285714285714285</v>
      </c>
      <c r="CV71" s="22">
        <f t="shared" si="136"/>
        <v>7.6328502415458939</v>
      </c>
      <c r="CW71" s="22">
        <f t="shared" si="137"/>
        <v>1.1828571428571428</v>
      </c>
      <c r="CX71" s="20">
        <f t="shared" si="126"/>
        <v>162.37885714285716</v>
      </c>
      <c r="CY71" s="22">
        <f t="shared" si="156"/>
        <v>22.222222222222221</v>
      </c>
      <c r="CZ71" s="22">
        <f t="shared" si="138"/>
        <v>49.019607843137258</v>
      </c>
      <c r="DA71" s="22">
        <f t="shared" si="139"/>
        <v>4.1062801932367154</v>
      </c>
      <c r="DB71" s="22">
        <f t="shared" si="127"/>
        <v>2.7828571428571429</v>
      </c>
      <c r="DC71" s="22">
        <f t="shared" si="146"/>
        <v>69.298245614035082</v>
      </c>
      <c r="DD71" s="22">
        <f t="shared" si="157"/>
        <v>2.0176991150442478</v>
      </c>
      <c r="DE71" s="22">
        <f t="shared" si="158"/>
        <v>9.5762711864406782</v>
      </c>
      <c r="DF71" s="22">
        <f t="shared" si="159"/>
        <v>19.322033898305087</v>
      </c>
      <c r="DG71" s="19">
        <f t="shared" si="192"/>
        <v>8.293838862559241</v>
      </c>
      <c r="DH71" s="20">
        <f t="shared" si="140"/>
        <v>62.565797101449277</v>
      </c>
      <c r="DI71" s="19">
        <f t="shared" si="141"/>
        <v>3.1876614363706448</v>
      </c>
      <c r="DJ71" s="22">
        <f t="shared" si="160"/>
        <v>1592.3076923076922</v>
      </c>
      <c r="DK71" s="22">
        <f t="shared" si="161"/>
        <v>164.49459631277813</v>
      </c>
      <c r="DL71" s="22">
        <f t="shared" si="142"/>
        <v>6.4462809917355379</v>
      </c>
      <c r="DM71" s="22">
        <f t="shared" si="162"/>
        <v>175.42372881355934</v>
      </c>
      <c r="DN71" s="22">
        <f t="shared" si="163"/>
        <v>6.8862275449101798E-2</v>
      </c>
      <c r="DO71" s="22">
        <f t="shared" si="164"/>
        <v>17.542372881355931</v>
      </c>
      <c r="DP71" s="20">
        <f t="shared" si="165"/>
        <v>1525.4237288135594</v>
      </c>
      <c r="DQ71" s="22">
        <f t="shared" si="166"/>
        <v>10.778443113772456</v>
      </c>
      <c r="DR71" s="22">
        <f t="shared" si="167"/>
        <v>25.828271617543194</v>
      </c>
      <c r="DS71" s="19">
        <f t="shared" si="168"/>
        <v>1.0063718445574263</v>
      </c>
      <c r="DT71" s="23">
        <f t="shared" si="169"/>
        <v>5.5555555555555556E-4</v>
      </c>
      <c r="DU71" s="22">
        <f t="shared" si="193"/>
        <v>23.080568720379144</v>
      </c>
      <c r="DV71" s="22">
        <f t="shared" si="170"/>
        <v>15.486725663716813</v>
      </c>
      <c r="DW71" s="22">
        <f t="shared" si="130"/>
        <v>4.1322302028073743E-2</v>
      </c>
      <c r="DX71" s="22">
        <f t="shared" si="194"/>
        <v>35.93429158110883</v>
      </c>
      <c r="DY71" s="22">
        <f t="shared" si="143"/>
        <v>4.6817248459958929</v>
      </c>
      <c r="DZ71" s="19">
        <f t="shared" si="171"/>
        <v>0.8524996721155107</v>
      </c>
      <c r="EA71" s="23">
        <f t="shared" si="144"/>
        <v>4.8792270531400964E-3</v>
      </c>
      <c r="EB71" s="19">
        <f t="shared" si="145"/>
        <v>0.13028571428571428</v>
      </c>
      <c r="EC71" s="19">
        <f t="shared" si="172"/>
        <v>0.22837432911253022</v>
      </c>
      <c r="ED71" s="19"/>
      <c r="EE71" s="19">
        <f t="shared" si="195"/>
        <v>38.845369674857814</v>
      </c>
      <c r="EF71" s="19">
        <f t="shared" si="196"/>
        <v>5.0863826590835917</v>
      </c>
      <c r="EG71" s="19">
        <f t="shared" si="197"/>
        <v>4.6571520549415171</v>
      </c>
      <c r="EH71" s="19">
        <f t="shared" si="198"/>
        <v>15.065994205386842</v>
      </c>
      <c r="EI71" s="19">
        <f t="shared" si="199"/>
        <v>0.22534606717458952</v>
      </c>
      <c r="EJ71" s="19">
        <f t="shared" si="200"/>
        <v>16.632685910505415</v>
      </c>
      <c r="EK71" s="19">
        <f t="shared" si="201"/>
        <v>15.344994098079191</v>
      </c>
      <c r="EL71" s="19">
        <f t="shared" si="202"/>
        <v>0.12876918124262257</v>
      </c>
      <c r="EM71" s="19">
        <f t="shared" si="203"/>
        <v>1.6739993561540936</v>
      </c>
      <c r="EN71" s="19">
        <f t="shared" si="204"/>
        <v>2.3393067925743107</v>
      </c>
      <c r="EO71" s="19">
        <f t="shared" si="205"/>
        <v>99.999999999999972</v>
      </c>
    </row>
    <row r="72" spans="1:145" s="18" customFormat="1" ht="14.5" customHeight="1">
      <c r="A72" s="1" t="s">
        <v>231</v>
      </c>
      <c r="B72" s="1">
        <v>3</v>
      </c>
      <c r="C72" s="12" t="s">
        <v>242</v>
      </c>
      <c r="D72" s="1" t="s">
        <v>241</v>
      </c>
      <c r="E72" s="12" t="s">
        <v>243</v>
      </c>
      <c r="F72" s="45" t="s">
        <v>240</v>
      </c>
      <c r="G72" s="15">
        <v>40.6</v>
      </c>
      <c r="H72" s="15">
        <v>5.03</v>
      </c>
      <c r="I72" s="15">
        <v>6.74</v>
      </c>
      <c r="J72" s="15">
        <v>13.6</v>
      </c>
      <c r="K72" s="15">
        <v>0.22</v>
      </c>
      <c r="L72" s="15">
        <v>7.65</v>
      </c>
      <c r="M72" s="15">
        <v>10.85</v>
      </c>
      <c r="N72" s="15">
        <v>0.11</v>
      </c>
      <c r="O72" s="15">
        <v>6.51</v>
      </c>
      <c r="P72" s="15">
        <v>2.09</v>
      </c>
      <c r="Q72" s="15">
        <v>6.5499999999999829</v>
      </c>
      <c r="R72" s="15"/>
      <c r="S72" s="15">
        <f t="shared" si="173"/>
        <v>93.4</v>
      </c>
      <c r="T72" s="16"/>
      <c r="U72" s="37"/>
      <c r="V72" s="37"/>
      <c r="AF72" s="19">
        <f t="shared" si="174"/>
        <v>0.56726930742533177</v>
      </c>
      <c r="AG72" s="20">
        <f t="shared" si="175"/>
        <v>30154.850000000002</v>
      </c>
      <c r="AH72" s="20">
        <f t="shared" si="176"/>
        <v>54046.02</v>
      </c>
      <c r="AI72" s="20">
        <f t="shared" si="177"/>
        <v>9120.76</v>
      </c>
      <c r="AJ72" s="19">
        <f t="shared" si="178"/>
        <v>6.62</v>
      </c>
      <c r="AK72" s="19">
        <f t="shared" si="179"/>
        <v>59.18181818181818</v>
      </c>
      <c r="AL72" s="19">
        <f t="shared" si="180"/>
        <v>1.6897081413210446E-2</v>
      </c>
      <c r="AM72" s="19">
        <f t="shared" si="181"/>
        <v>1.609792284866469</v>
      </c>
      <c r="AN72" s="19">
        <f t="shared" si="182"/>
        <v>0.96587537091988129</v>
      </c>
      <c r="AO72" s="19">
        <f t="shared" si="183"/>
        <v>1.0722901189315468</v>
      </c>
      <c r="AP72" s="19">
        <f t="shared" si="184"/>
        <v>0.9325834327340643</v>
      </c>
      <c r="AQ72" s="19">
        <f t="shared" si="185"/>
        <v>0.25005746323775135</v>
      </c>
      <c r="AR72" s="19">
        <f t="shared" si="186"/>
        <v>1.0722901189315468</v>
      </c>
      <c r="AS72" s="20">
        <f t="shared" si="187"/>
        <v>1742.0389540456397</v>
      </c>
      <c r="AT72" s="20">
        <f t="shared" si="188"/>
        <v>1720.1269966668376</v>
      </c>
      <c r="AU72" s="19">
        <f t="shared" si="189"/>
        <v>0.16034482758620688</v>
      </c>
      <c r="AV72" s="19">
        <f t="shared" si="190"/>
        <v>1.0454421742992683</v>
      </c>
      <c r="AX72" s="16">
        <v>53.3</v>
      </c>
      <c r="AY72" s="16">
        <v>1160</v>
      </c>
      <c r="AZ72" s="16">
        <v>480</v>
      </c>
      <c r="BA72" s="1">
        <v>1.59</v>
      </c>
      <c r="BB72" s="16">
        <v>23</v>
      </c>
      <c r="BC72" s="16">
        <v>193</v>
      </c>
      <c r="BD72" s="16">
        <v>870</v>
      </c>
      <c r="BF72" s="16">
        <v>666</v>
      </c>
      <c r="BG72" s="16">
        <v>84</v>
      </c>
      <c r="BH72" s="16">
        <v>85</v>
      </c>
      <c r="BI72" s="16">
        <v>19.899999999999999</v>
      </c>
      <c r="BJ72" s="16">
        <v>414</v>
      </c>
      <c r="BK72" s="16">
        <v>164.5</v>
      </c>
      <c r="BL72" s="1">
        <v>9.8000000000000007</v>
      </c>
      <c r="BM72" s="1">
        <v>11</v>
      </c>
      <c r="BN72" s="1">
        <v>202</v>
      </c>
      <c r="BO72" s="1">
        <v>390</v>
      </c>
      <c r="BP72" s="1">
        <v>44.9</v>
      </c>
      <c r="BQ72" s="1">
        <v>166</v>
      </c>
      <c r="BR72" s="1">
        <v>20.3</v>
      </c>
      <c r="BS72" s="1">
        <v>5.34</v>
      </c>
      <c r="BT72" s="1">
        <v>11.85</v>
      </c>
      <c r="BU72" s="1">
        <v>1.38</v>
      </c>
      <c r="BV72" s="1">
        <v>5.59</v>
      </c>
      <c r="BW72" s="1">
        <v>0.82</v>
      </c>
      <c r="BX72" s="1">
        <v>1.85</v>
      </c>
      <c r="BY72" s="1">
        <v>0.24</v>
      </c>
      <c r="BZ72" s="1">
        <v>1.03</v>
      </c>
      <c r="CA72" s="1">
        <v>0.12</v>
      </c>
      <c r="CB72" s="1">
        <v>14</v>
      </c>
      <c r="CC72" s="1">
        <v>22.5</v>
      </c>
      <c r="CD72" s="1">
        <v>3.69</v>
      </c>
      <c r="CE72" s="1">
        <v>13.5</v>
      </c>
      <c r="CG72" s="22">
        <f>BN72/0.242</f>
        <v>834.71074380165294</v>
      </c>
      <c r="CH72" s="22">
        <f t="shared" si="191"/>
        <v>614.17322834645665</v>
      </c>
      <c r="CI72" s="22">
        <f t="shared" si="147"/>
        <v>466.25129802699894</v>
      </c>
      <c r="CJ72" s="22">
        <f t="shared" si="133"/>
        <v>345.83333333333337</v>
      </c>
      <c r="CK72" s="22">
        <f t="shared" si="134"/>
        <v>130.12820512820514</v>
      </c>
      <c r="CL72" s="22">
        <v>21.059100000000001</v>
      </c>
      <c r="CM72" s="22">
        <f t="shared" si="148"/>
        <v>55.89622641509434</v>
      </c>
      <c r="CN72" s="22">
        <f t="shared" si="149"/>
        <v>36.702127659574465</v>
      </c>
      <c r="CO72" s="22">
        <f t="shared" si="150"/>
        <v>21.583011583011583</v>
      </c>
      <c r="CP72" s="22">
        <f t="shared" si="151"/>
        <v>14.017094017094015</v>
      </c>
      <c r="CQ72" s="22">
        <f t="shared" si="152"/>
        <v>11.349693251533742</v>
      </c>
      <c r="CR72" s="22">
        <f t="shared" si="153"/>
        <v>9.375</v>
      </c>
      <c r="CS72" s="22">
        <f t="shared" si="154"/>
        <v>6.2048192771084336</v>
      </c>
      <c r="CT72" s="22">
        <f t="shared" si="155"/>
        <v>4.8</v>
      </c>
      <c r="CU72" s="22">
        <f t="shared" si="135"/>
        <v>2.9179331306990881</v>
      </c>
      <c r="CV72" s="22">
        <f t="shared" si="136"/>
        <v>2.3762376237623761</v>
      </c>
      <c r="CW72" s="22">
        <f t="shared" si="137"/>
        <v>1.2279635258358663</v>
      </c>
      <c r="CX72" s="20">
        <f t="shared" ref="CX72:CX83" si="206">AG72/BK72</f>
        <v>183.31215805471126</v>
      </c>
      <c r="CY72" s="22">
        <f t="shared" si="156"/>
        <v>27.857142857142858</v>
      </c>
      <c r="CZ72" s="22">
        <f t="shared" si="138"/>
        <v>44.579945799457995</v>
      </c>
      <c r="DA72" s="22">
        <f t="shared" si="139"/>
        <v>2.6256157635467976</v>
      </c>
      <c r="DB72" s="22">
        <f t="shared" ref="DB72:DB83" si="207">BJ72/BK72</f>
        <v>2.5167173252279635</v>
      </c>
      <c r="DC72" s="22">
        <f t="shared" si="146"/>
        <v>21.333333333333332</v>
      </c>
      <c r="DD72" s="22">
        <f t="shared" si="157"/>
        <v>2.0454545454545454</v>
      </c>
      <c r="DE72" s="22">
        <f t="shared" si="158"/>
        <v>10.679611650485437</v>
      </c>
      <c r="DF72" s="22">
        <f t="shared" si="159"/>
        <v>21.844660194174757</v>
      </c>
      <c r="DG72" s="19">
        <f t="shared" si="192"/>
        <v>8.2663316582914579</v>
      </c>
      <c r="DH72" s="20">
        <f t="shared" si="140"/>
        <v>267.55455445544555</v>
      </c>
      <c r="DI72" s="19">
        <f t="shared" si="141"/>
        <v>1.4427556108217618</v>
      </c>
      <c r="DJ72" s="22">
        <f t="shared" si="160"/>
        <v>1683.3333333333335</v>
      </c>
      <c r="DK72" s="22">
        <f t="shared" si="161"/>
        <v>173.89807162534436</v>
      </c>
      <c r="DL72" s="22">
        <f t="shared" si="142"/>
        <v>6.4145259129585144</v>
      </c>
      <c r="DM72" s="22">
        <f t="shared" si="162"/>
        <v>196.11650485436894</v>
      </c>
      <c r="DN72" s="22">
        <f t="shared" si="163"/>
        <v>5.9036144578313257E-2</v>
      </c>
      <c r="DO72" s="22">
        <f t="shared" si="164"/>
        <v>19.708737864077669</v>
      </c>
      <c r="DP72" s="20">
        <f t="shared" si="165"/>
        <v>1126.2135922330096</v>
      </c>
      <c r="DQ72" s="22">
        <f t="shared" si="166"/>
        <v>6.9879518072289155</v>
      </c>
      <c r="DR72" s="22">
        <f t="shared" si="167"/>
        <v>16.808075214166056</v>
      </c>
      <c r="DS72" s="19">
        <f t="shared" si="168"/>
        <v>1.045609525205577</v>
      </c>
      <c r="DT72" s="23">
        <f t="shared" si="169"/>
        <v>8.6206896551724137E-4</v>
      </c>
      <c r="DU72" s="22">
        <f t="shared" si="193"/>
        <v>20.804020100502512</v>
      </c>
      <c r="DV72" s="22">
        <f t="shared" si="170"/>
        <v>14.954545454545455</v>
      </c>
      <c r="DW72" s="22">
        <f t="shared" si="130"/>
        <v>0.12647007763079765</v>
      </c>
      <c r="DX72" s="22">
        <f t="shared" si="194"/>
        <v>39.734299516908216</v>
      </c>
      <c r="DY72" s="22">
        <f t="shared" si="143"/>
        <v>5.4347826086956523</v>
      </c>
      <c r="DZ72" s="19">
        <f t="shared" si="171"/>
        <v>1.0014398582293433</v>
      </c>
      <c r="EA72" s="23">
        <f t="shared" si="144"/>
        <v>7.8712871287128713E-3</v>
      </c>
      <c r="EB72" s="19">
        <f t="shared" si="145"/>
        <v>0.13677811550151975</v>
      </c>
      <c r="EC72" s="19">
        <f t="shared" si="172"/>
        <v>0.18168123599804864</v>
      </c>
      <c r="ED72" s="19"/>
      <c r="EE72" s="19">
        <f t="shared" si="195"/>
        <v>43.468950749464668</v>
      </c>
      <c r="EF72" s="19">
        <f t="shared" si="196"/>
        <v>5.3854389721627403</v>
      </c>
      <c r="EG72" s="19">
        <f t="shared" si="197"/>
        <v>7.2162740899357596</v>
      </c>
      <c r="EH72" s="19">
        <f t="shared" si="198"/>
        <v>14.5610278372591</v>
      </c>
      <c r="EI72" s="19">
        <f t="shared" si="199"/>
        <v>0.23554603854389719</v>
      </c>
      <c r="EJ72" s="19">
        <f t="shared" si="200"/>
        <v>8.1905781584582442</v>
      </c>
      <c r="EK72" s="19">
        <f t="shared" si="201"/>
        <v>11.616702355460385</v>
      </c>
      <c r="EL72" s="19">
        <f t="shared" si="202"/>
        <v>0.1177730192719486</v>
      </c>
      <c r="EM72" s="19">
        <f t="shared" si="203"/>
        <v>6.970021413276231</v>
      </c>
      <c r="EN72" s="19">
        <f t="shared" si="204"/>
        <v>2.2376873661670236</v>
      </c>
      <c r="EO72" s="19">
        <f t="shared" si="205"/>
        <v>100.00000000000001</v>
      </c>
    </row>
    <row r="73" spans="1:145" s="18" customFormat="1" ht="14.5" customHeight="1">
      <c r="A73" s="1" t="s">
        <v>231</v>
      </c>
      <c r="B73" s="1">
        <v>3</v>
      </c>
      <c r="C73" s="12" t="s">
        <v>242</v>
      </c>
      <c r="D73" s="1" t="s">
        <v>241</v>
      </c>
      <c r="E73" s="12" t="s">
        <v>243</v>
      </c>
      <c r="F73" s="45" t="s">
        <v>240</v>
      </c>
      <c r="G73" s="15">
        <v>35.799999999999997</v>
      </c>
      <c r="H73" s="15">
        <v>9.1</v>
      </c>
      <c r="I73" s="15">
        <v>8.08</v>
      </c>
      <c r="J73" s="15">
        <v>25.32</v>
      </c>
      <c r="K73" s="15">
        <v>0.26</v>
      </c>
      <c r="L73" s="15">
        <v>4.58</v>
      </c>
      <c r="M73" s="15">
        <v>4.45</v>
      </c>
      <c r="N73" s="15">
        <v>0.12</v>
      </c>
      <c r="O73" s="15">
        <v>1.02</v>
      </c>
      <c r="P73" s="15">
        <v>2.69</v>
      </c>
      <c r="Q73" s="15">
        <v>8.5799999999999983</v>
      </c>
      <c r="R73" s="15"/>
      <c r="S73" s="15">
        <f t="shared" si="173"/>
        <v>91.42</v>
      </c>
      <c r="T73" s="16"/>
      <c r="U73" s="37"/>
      <c r="V73" s="37"/>
      <c r="AF73" s="19">
        <f t="shared" si="174"/>
        <v>0.29654334353768397</v>
      </c>
      <c r="AG73" s="20">
        <f t="shared" si="175"/>
        <v>54554.5</v>
      </c>
      <c r="AH73" s="20">
        <f t="shared" si="176"/>
        <v>8468.0400000000009</v>
      </c>
      <c r="AI73" s="20">
        <f t="shared" si="177"/>
        <v>11739.16</v>
      </c>
      <c r="AJ73" s="19">
        <f t="shared" si="178"/>
        <v>1.1400000000000001</v>
      </c>
      <c r="AK73" s="19">
        <f t="shared" si="179"/>
        <v>8.5</v>
      </c>
      <c r="AL73" s="19">
        <f t="shared" si="180"/>
        <v>0.11764705882352941</v>
      </c>
      <c r="AM73" s="19">
        <f t="shared" si="181"/>
        <v>0.55074257425742568</v>
      </c>
      <c r="AN73" s="19">
        <f t="shared" si="182"/>
        <v>0.12623762376237624</v>
      </c>
      <c r="AO73" s="19">
        <f t="shared" si="183"/>
        <v>0.16106820450760276</v>
      </c>
      <c r="AP73" s="19">
        <f t="shared" si="184"/>
        <v>6.2085499931974342</v>
      </c>
      <c r="AQ73" s="19">
        <f t="shared" si="185"/>
        <v>0.86030191426077751</v>
      </c>
      <c r="AR73" s="19">
        <f t="shared" si="186"/>
        <v>0.16106820450760276</v>
      </c>
      <c r="AS73" s="20">
        <f t="shared" si="187"/>
        <v>1857.4693835838393</v>
      </c>
      <c r="AT73" s="20">
        <f t="shared" si="188"/>
        <v>856.10108540492774</v>
      </c>
      <c r="AU73" s="19">
        <f t="shared" si="189"/>
        <v>2.8491620111731845E-2</v>
      </c>
      <c r="AV73" s="19">
        <f t="shared" si="190"/>
        <v>0.13663681654789681</v>
      </c>
      <c r="AX73" s="16">
        <v>201</v>
      </c>
      <c r="AY73" s="16">
        <v>1150</v>
      </c>
      <c r="AZ73" s="16">
        <v>4130</v>
      </c>
      <c r="BA73" s="1">
        <v>2.8</v>
      </c>
      <c r="BB73" s="16">
        <v>32</v>
      </c>
      <c r="BC73" s="16">
        <v>239</v>
      </c>
      <c r="BD73" s="16">
        <v>190</v>
      </c>
      <c r="BF73" s="16">
        <v>224</v>
      </c>
      <c r="BG73" s="16">
        <v>148</v>
      </c>
      <c r="BH73" s="16">
        <v>110</v>
      </c>
      <c r="BI73" s="16">
        <v>29.1</v>
      </c>
      <c r="BJ73" s="16">
        <v>774</v>
      </c>
      <c r="BK73" s="16">
        <v>239</v>
      </c>
      <c r="BL73" s="1">
        <v>17.5</v>
      </c>
      <c r="BM73" s="1">
        <v>8.5</v>
      </c>
      <c r="BN73" s="1">
        <v>173</v>
      </c>
      <c r="BO73" s="1">
        <v>290</v>
      </c>
      <c r="BP73" s="1">
        <v>30.8</v>
      </c>
      <c r="BQ73" s="1">
        <v>107</v>
      </c>
      <c r="BR73" s="1">
        <v>15.9</v>
      </c>
      <c r="BS73" s="1">
        <v>3.98</v>
      </c>
      <c r="BT73" s="1">
        <v>10.25</v>
      </c>
      <c r="BU73" s="1">
        <v>1.4</v>
      </c>
      <c r="BV73" s="1">
        <v>6.24</v>
      </c>
      <c r="BW73" s="1">
        <v>1.02</v>
      </c>
      <c r="BX73" s="1">
        <v>2.1800000000000002</v>
      </c>
      <c r="BY73" s="1">
        <v>0.3</v>
      </c>
      <c r="BZ73" s="1">
        <v>1.49</v>
      </c>
      <c r="CA73" s="1">
        <v>0.22</v>
      </c>
      <c r="CB73" s="1">
        <v>23</v>
      </c>
      <c r="CC73" s="1">
        <v>12.45</v>
      </c>
      <c r="CD73" s="1">
        <v>4.96</v>
      </c>
      <c r="CE73" s="1">
        <v>17.600000000000001</v>
      </c>
      <c r="CG73" s="22">
        <f>BN73/0.242</f>
        <v>714.87603305785126</v>
      </c>
      <c r="CH73" s="22">
        <f t="shared" si="191"/>
        <v>456.69291338582678</v>
      </c>
      <c r="CI73" s="22">
        <f t="shared" si="147"/>
        <v>319.83385254413292</v>
      </c>
      <c r="CJ73" s="22">
        <f t="shared" si="133"/>
        <v>222.91666666666669</v>
      </c>
      <c r="CK73" s="22">
        <f t="shared" si="134"/>
        <v>101.92307692307692</v>
      </c>
      <c r="CL73" s="22">
        <v>22.059100000000001</v>
      </c>
      <c r="CM73" s="22">
        <f t="shared" si="148"/>
        <v>48.349056603773583</v>
      </c>
      <c r="CN73" s="22">
        <f t="shared" si="149"/>
        <v>37.234042553191486</v>
      </c>
      <c r="CO73" s="22">
        <f t="shared" si="150"/>
        <v>24.092664092664094</v>
      </c>
      <c r="CP73" s="22">
        <f t="shared" si="151"/>
        <v>17.435897435897434</v>
      </c>
      <c r="CQ73" s="22">
        <f t="shared" si="152"/>
        <v>13.374233128834357</v>
      </c>
      <c r="CR73" s="22">
        <f t="shared" si="153"/>
        <v>11.718749999999998</v>
      </c>
      <c r="CS73" s="22">
        <f t="shared" si="154"/>
        <v>8.975903614457831</v>
      </c>
      <c r="CT73" s="22">
        <f t="shared" si="155"/>
        <v>8.7999999999999989</v>
      </c>
      <c r="CU73" s="22">
        <f t="shared" si="135"/>
        <v>17.280334728033473</v>
      </c>
      <c r="CV73" s="22">
        <f t="shared" si="136"/>
        <v>23.872832369942195</v>
      </c>
      <c r="CW73" s="22">
        <f t="shared" si="137"/>
        <v>0.72384937238493718</v>
      </c>
      <c r="CX73" s="20">
        <f t="shared" si="206"/>
        <v>228.26150627615064</v>
      </c>
      <c r="CY73" s="22">
        <f t="shared" si="156"/>
        <v>12.608695652173912</v>
      </c>
      <c r="CZ73" s="22">
        <f t="shared" si="138"/>
        <v>48.185483870967744</v>
      </c>
      <c r="DA73" s="22">
        <f t="shared" si="139"/>
        <v>12.641509433962264</v>
      </c>
      <c r="DB73" s="22">
        <f t="shared" si="207"/>
        <v>3.2384937238493725</v>
      </c>
      <c r="DC73" s="22">
        <f t="shared" si="146"/>
        <v>331.72690763052213</v>
      </c>
      <c r="DD73" s="22">
        <f t="shared" si="157"/>
        <v>1.4647058823529411</v>
      </c>
      <c r="DE73" s="22">
        <f t="shared" si="158"/>
        <v>5.7046979865771812</v>
      </c>
      <c r="DF73" s="22">
        <f t="shared" si="159"/>
        <v>8.3557046979865763</v>
      </c>
      <c r="DG73" s="19">
        <f t="shared" si="192"/>
        <v>8.2130584192439855</v>
      </c>
      <c r="DH73" s="20">
        <f t="shared" si="140"/>
        <v>48.948208092485551</v>
      </c>
      <c r="DI73" s="19">
        <f t="shared" si="141"/>
        <v>4.5675943159870407</v>
      </c>
      <c r="DJ73" s="22">
        <f t="shared" si="160"/>
        <v>786.36363636363637</v>
      </c>
      <c r="DK73" s="22">
        <f t="shared" si="161"/>
        <v>81.235912847483107</v>
      </c>
      <c r="DL73" s="22">
        <f t="shared" si="142"/>
        <v>7.0138780601902386</v>
      </c>
      <c r="DM73" s="22">
        <f t="shared" si="162"/>
        <v>116.10738255033557</v>
      </c>
      <c r="DN73" s="22">
        <f t="shared" si="163"/>
        <v>0.16355140186915887</v>
      </c>
      <c r="DO73" s="22">
        <f t="shared" si="164"/>
        <v>10.671140939597315</v>
      </c>
      <c r="DP73" s="20">
        <f t="shared" si="165"/>
        <v>771.81208053691273</v>
      </c>
      <c r="DQ73" s="22">
        <f t="shared" si="166"/>
        <v>10.747663551401869</v>
      </c>
      <c r="DR73" s="22">
        <f t="shared" si="167"/>
        <v>20.244382448192827</v>
      </c>
      <c r="DS73" s="19">
        <f t="shared" si="168"/>
        <v>0.94679955515637437</v>
      </c>
      <c r="DT73" s="23">
        <f t="shared" si="169"/>
        <v>8.6956521739130438E-4</v>
      </c>
      <c r="DU73" s="22">
        <f t="shared" si="193"/>
        <v>26.597938144329895</v>
      </c>
      <c r="DV73" s="22">
        <f t="shared" si="170"/>
        <v>28.117647058823529</v>
      </c>
      <c r="DW73" s="22">
        <f t="shared" si="130"/>
        <v>-8.120319369598139E-2</v>
      </c>
      <c r="DX73" s="22">
        <f t="shared" si="194"/>
        <v>30.878552971576227</v>
      </c>
      <c r="DY73" s="22">
        <f t="shared" si="143"/>
        <v>1.6085271317829457</v>
      </c>
      <c r="DZ73" s="19">
        <f t="shared" si="171"/>
        <v>0.42327337753131744</v>
      </c>
      <c r="EA73" s="23">
        <f t="shared" si="144"/>
        <v>1.6184971098265895E-2</v>
      </c>
      <c r="EB73" s="19">
        <f t="shared" si="145"/>
        <v>5.2092050209205015E-2</v>
      </c>
      <c r="EC73" s="19">
        <f t="shared" si="172"/>
        <v>0.41791791920475152</v>
      </c>
      <c r="ED73" s="19"/>
      <c r="EE73" s="19">
        <f t="shared" si="195"/>
        <v>39.159921242616491</v>
      </c>
      <c r="EF73" s="19">
        <f t="shared" si="196"/>
        <v>9.9540581929555891</v>
      </c>
      <c r="EG73" s="19">
        <f t="shared" si="197"/>
        <v>8.8383285933056221</v>
      </c>
      <c r="EH73" s="19">
        <f t="shared" si="198"/>
        <v>27.696346532487421</v>
      </c>
      <c r="EI73" s="19">
        <f t="shared" si="199"/>
        <v>0.28440166265587397</v>
      </c>
      <c r="EJ73" s="19">
        <f t="shared" si="200"/>
        <v>5.0098446729380877</v>
      </c>
      <c r="EK73" s="19">
        <f t="shared" si="201"/>
        <v>4.8676438416101506</v>
      </c>
      <c r="EL73" s="19">
        <f t="shared" si="202"/>
        <v>0.1312623058411726</v>
      </c>
      <c r="EM73" s="19">
        <f t="shared" si="203"/>
        <v>1.1157295996499672</v>
      </c>
      <c r="EN73" s="19">
        <f t="shared" si="204"/>
        <v>2.9424633559396192</v>
      </c>
      <c r="EO73" s="19">
        <f t="shared" si="205"/>
        <v>99.999999999999986</v>
      </c>
    </row>
    <row r="74" spans="1:145" s="18" customFormat="1" ht="14.5" customHeight="1">
      <c r="A74" s="1" t="s">
        <v>231</v>
      </c>
      <c r="B74" s="1">
        <v>3</v>
      </c>
      <c r="C74" s="12" t="s">
        <v>242</v>
      </c>
      <c r="D74" s="1" t="s">
        <v>241</v>
      </c>
      <c r="E74" s="12" t="s">
        <v>243</v>
      </c>
      <c r="F74" s="45" t="s">
        <v>240</v>
      </c>
      <c r="G74" s="15">
        <v>34.5</v>
      </c>
      <c r="H74" s="15">
        <v>9.17</v>
      </c>
      <c r="I74" s="15">
        <v>7.59</v>
      </c>
      <c r="J74" s="15">
        <v>24.42</v>
      </c>
      <c r="K74" s="15">
        <v>0.13</v>
      </c>
      <c r="L74" s="15">
        <v>4.6399999999999997</v>
      </c>
      <c r="M74" s="15">
        <v>5.97</v>
      </c>
      <c r="N74" s="15">
        <v>0.18</v>
      </c>
      <c r="O74" s="15">
        <v>1.05</v>
      </c>
      <c r="P74" s="15">
        <v>3.79</v>
      </c>
      <c r="Q74" s="15">
        <v>7.06</v>
      </c>
      <c r="R74" s="15"/>
      <c r="S74" s="15">
        <f t="shared" si="173"/>
        <v>91.440000000000012</v>
      </c>
      <c r="T74" s="16"/>
      <c r="U74" s="37"/>
      <c r="V74" s="37"/>
      <c r="AF74" s="19">
        <f t="shared" si="174"/>
        <v>0.30690998743131676</v>
      </c>
      <c r="AG74" s="20">
        <f t="shared" si="175"/>
        <v>54974.15</v>
      </c>
      <c r="AH74" s="20">
        <f t="shared" si="176"/>
        <v>8717.1</v>
      </c>
      <c r="AI74" s="20">
        <f t="shared" si="177"/>
        <v>16539.560000000001</v>
      </c>
      <c r="AJ74" s="19">
        <f t="shared" si="178"/>
        <v>1.23</v>
      </c>
      <c r="AK74" s="19">
        <f t="shared" si="179"/>
        <v>5.8333333333333339</v>
      </c>
      <c r="AL74" s="19">
        <f t="shared" si="180"/>
        <v>0.1714285714285714</v>
      </c>
      <c r="AM74" s="19">
        <f t="shared" si="181"/>
        <v>0.78656126482213429</v>
      </c>
      <c r="AN74" s="19">
        <f t="shared" si="182"/>
        <v>0.13833992094861661</v>
      </c>
      <c r="AO74" s="19">
        <f t="shared" si="183"/>
        <v>0.18874904313020552</v>
      </c>
      <c r="AP74" s="19">
        <f t="shared" si="184"/>
        <v>5.2980401034942783</v>
      </c>
      <c r="AQ74" s="19">
        <f t="shared" si="185"/>
        <v>0.61773793798404197</v>
      </c>
      <c r="AR74" s="19">
        <f t="shared" si="186"/>
        <v>0.18874904313020552</v>
      </c>
      <c r="AS74" s="20">
        <f t="shared" si="187"/>
        <v>1757.3430175714809</v>
      </c>
      <c r="AT74" s="20">
        <f t="shared" si="188"/>
        <v>1031.7632275325698</v>
      </c>
      <c r="AU74" s="19">
        <f t="shared" si="189"/>
        <v>3.0434782608695653E-2</v>
      </c>
      <c r="AV74" s="19">
        <f t="shared" si="190"/>
        <v>0.14973607579533918</v>
      </c>
      <c r="AX74" s="16">
        <v>228</v>
      </c>
      <c r="AY74" s="16">
        <v>1395</v>
      </c>
      <c r="AZ74" s="16">
        <v>4170</v>
      </c>
      <c r="BA74" s="1">
        <v>4.26</v>
      </c>
      <c r="BB74" s="16">
        <v>27</v>
      </c>
      <c r="BC74" s="16">
        <v>148</v>
      </c>
      <c r="BD74" s="16">
        <v>160</v>
      </c>
      <c r="BF74" s="16">
        <v>182</v>
      </c>
      <c r="BG74" s="16">
        <v>141</v>
      </c>
      <c r="BH74" s="16">
        <v>93</v>
      </c>
      <c r="BI74" s="16">
        <v>23.5</v>
      </c>
      <c r="BJ74" s="16">
        <v>648</v>
      </c>
      <c r="BK74" s="16">
        <v>188.5</v>
      </c>
      <c r="BL74" s="1">
        <v>14.7</v>
      </c>
      <c r="BM74" s="1">
        <v>6.8</v>
      </c>
      <c r="BN74" s="1">
        <v>140.5</v>
      </c>
      <c r="BO74" s="1">
        <v>236</v>
      </c>
      <c r="BP74" s="1">
        <v>24.2</v>
      </c>
      <c r="BQ74" s="1">
        <v>84.4</v>
      </c>
      <c r="BR74" s="1">
        <v>11.9</v>
      </c>
      <c r="BS74" s="1">
        <v>3.09</v>
      </c>
      <c r="BT74" s="1">
        <v>8.01</v>
      </c>
      <c r="BU74" s="1">
        <v>1.06</v>
      </c>
      <c r="BV74" s="1">
        <v>5.01</v>
      </c>
      <c r="BW74" s="1">
        <v>0.83</v>
      </c>
      <c r="BX74" s="1">
        <v>2.08</v>
      </c>
      <c r="BY74" s="1">
        <v>0.24</v>
      </c>
      <c r="BZ74" s="1">
        <v>1.3</v>
      </c>
      <c r="CA74" s="1">
        <v>0.17</v>
      </c>
      <c r="CB74" s="1">
        <v>18</v>
      </c>
      <c r="CC74" s="1">
        <v>9.8800000000000008</v>
      </c>
      <c r="CD74" s="1">
        <v>3.6</v>
      </c>
      <c r="CE74" s="1">
        <v>16.899999999999999</v>
      </c>
      <c r="CG74" s="22">
        <f>BN74/0.242</f>
        <v>580.57851239669424</v>
      </c>
      <c r="CH74" s="22">
        <f t="shared" si="191"/>
        <v>371.65354330708664</v>
      </c>
      <c r="CI74" s="22">
        <f t="shared" si="147"/>
        <v>251.29802699896157</v>
      </c>
      <c r="CJ74" s="22">
        <f t="shared" si="133"/>
        <v>175.83333333333334</v>
      </c>
      <c r="CK74" s="22">
        <f t="shared" si="134"/>
        <v>76.282051282051285</v>
      </c>
      <c r="CL74" s="22">
        <v>23.059100000000001</v>
      </c>
      <c r="CM74" s="22">
        <f t="shared" si="148"/>
        <v>37.783018867924525</v>
      </c>
      <c r="CN74" s="22">
        <f t="shared" si="149"/>
        <v>28.191489361702128</v>
      </c>
      <c r="CO74" s="22">
        <f t="shared" si="150"/>
        <v>19.343629343629342</v>
      </c>
      <c r="CP74" s="22">
        <f t="shared" si="151"/>
        <v>14.188034188034187</v>
      </c>
      <c r="CQ74" s="22">
        <f t="shared" si="152"/>
        <v>12.760736196319018</v>
      </c>
      <c r="CR74" s="22">
        <f t="shared" si="153"/>
        <v>9.375</v>
      </c>
      <c r="CS74" s="22">
        <f t="shared" si="154"/>
        <v>7.831325301204819</v>
      </c>
      <c r="CT74" s="22">
        <f t="shared" si="155"/>
        <v>6.8</v>
      </c>
      <c r="CU74" s="22">
        <f t="shared" si="135"/>
        <v>22.122015915119363</v>
      </c>
      <c r="CV74" s="22">
        <f t="shared" si="136"/>
        <v>29.679715302491104</v>
      </c>
      <c r="CW74" s="22">
        <f t="shared" si="137"/>
        <v>0.74535809018567645</v>
      </c>
      <c r="CX74" s="20">
        <f t="shared" si="206"/>
        <v>291.64005305039791</v>
      </c>
      <c r="CY74" s="22">
        <f t="shared" si="156"/>
        <v>13.111111111111111</v>
      </c>
      <c r="CZ74" s="22">
        <f t="shared" si="138"/>
        <v>52.361111111111107</v>
      </c>
      <c r="DA74" s="22">
        <f t="shared" si="139"/>
        <v>19.159663865546218</v>
      </c>
      <c r="DB74" s="22">
        <f t="shared" si="207"/>
        <v>3.4376657824933687</v>
      </c>
      <c r="DC74" s="22">
        <f t="shared" si="146"/>
        <v>422.06477732793519</v>
      </c>
      <c r="DD74" s="22">
        <f t="shared" si="157"/>
        <v>1.4529411764705884</v>
      </c>
      <c r="DE74" s="22">
        <f t="shared" si="158"/>
        <v>5.2307692307692308</v>
      </c>
      <c r="DF74" s="22">
        <f t="shared" si="159"/>
        <v>7.6000000000000005</v>
      </c>
      <c r="DG74" s="19">
        <f t="shared" si="192"/>
        <v>8.0212765957446805</v>
      </c>
      <c r="DH74" s="20">
        <f t="shared" si="140"/>
        <v>62.043416370106762</v>
      </c>
      <c r="DI74" s="19">
        <f t="shared" si="141"/>
        <v>4.1676956976381243</v>
      </c>
      <c r="DJ74" s="22">
        <f t="shared" si="160"/>
        <v>826.47058823529403</v>
      </c>
      <c r="DK74" s="22">
        <f t="shared" si="161"/>
        <v>85.379192999513862</v>
      </c>
      <c r="DL74" s="22">
        <f t="shared" si="142"/>
        <v>7.6109452045280923</v>
      </c>
      <c r="DM74" s="22">
        <f t="shared" si="162"/>
        <v>108.07692307692308</v>
      </c>
      <c r="DN74" s="22">
        <f t="shared" si="163"/>
        <v>0.17417061611374404</v>
      </c>
      <c r="DO74" s="22">
        <f t="shared" si="164"/>
        <v>9.1538461538461533</v>
      </c>
      <c r="DP74" s="20">
        <f t="shared" si="165"/>
        <v>1073.0769230769231</v>
      </c>
      <c r="DQ74" s="22">
        <f t="shared" si="166"/>
        <v>16.528436018957343</v>
      </c>
      <c r="DR74" s="22">
        <f t="shared" si="167"/>
        <v>32.110839260554755</v>
      </c>
      <c r="DS74" s="19">
        <f t="shared" si="168"/>
        <v>0.96117885609913978</v>
      </c>
      <c r="DT74" s="23">
        <f t="shared" si="169"/>
        <v>7.1684587813620072E-4</v>
      </c>
      <c r="DU74" s="22">
        <f t="shared" si="193"/>
        <v>27.574468085106382</v>
      </c>
      <c r="DV74" s="22">
        <f t="shared" si="170"/>
        <v>27.72058823529412</v>
      </c>
      <c r="DW74" s="22">
        <f t="shared" si="130"/>
        <v>-0.12153022343973019</v>
      </c>
      <c r="DX74" s="22">
        <f t="shared" si="194"/>
        <v>29.089506172839506</v>
      </c>
      <c r="DY74" s="22">
        <f t="shared" si="143"/>
        <v>1.5246913580246915</v>
      </c>
      <c r="DZ74" s="19">
        <f t="shared" si="171"/>
        <v>0.46801945455742755</v>
      </c>
      <c r="EA74" s="23">
        <f t="shared" si="144"/>
        <v>3.0320284697508894E-2</v>
      </c>
      <c r="EB74" s="19">
        <f t="shared" si="145"/>
        <v>5.2413793103448278E-2</v>
      </c>
      <c r="EC74" s="19">
        <f t="shared" si="172"/>
        <v>0.40902168616953405</v>
      </c>
      <c r="ED74" s="19"/>
      <c r="EE74" s="19">
        <f t="shared" si="195"/>
        <v>37.729658792650916</v>
      </c>
      <c r="EF74" s="19">
        <f t="shared" si="196"/>
        <v>10.028433945756779</v>
      </c>
      <c r="EG74" s="19">
        <f t="shared" si="197"/>
        <v>8.3005249343832013</v>
      </c>
      <c r="EH74" s="19">
        <f t="shared" si="198"/>
        <v>26.70603674540682</v>
      </c>
      <c r="EI74" s="19">
        <f t="shared" si="199"/>
        <v>0.14216972878390199</v>
      </c>
      <c r="EJ74" s="19">
        <f t="shared" si="200"/>
        <v>5.0743657042869632</v>
      </c>
      <c r="EK74" s="19">
        <f t="shared" si="201"/>
        <v>6.5288713910761143</v>
      </c>
      <c r="EL74" s="19">
        <f t="shared" si="202"/>
        <v>0.19685039370078738</v>
      </c>
      <c r="EM74" s="19">
        <f t="shared" si="203"/>
        <v>1.148293963254593</v>
      </c>
      <c r="EN74" s="19">
        <f t="shared" si="204"/>
        <v>4.1447944006999116</v>
      </c>
      <c r="EO74" s="19">
        <f t="shared" si="205"/>
        <v>99.999999999999972</v>
      </c>
    </row>
    <row r="75" spans="1:145" s="18" customFormat="1" ht="14.5" customHeight="1">
      <c r="A75" s="1" t="s">
        <v>231</v>
      </c>
      <c r="B75" s="1">
        <v>3</v>
      </c>
      <c r="C75" s="12" t="s">
        <v>242</v>
      </c>
      <c r="D75" s="1" t="s">
        <v>241</v>
      </c>
      <c r="E75" s="12" t="s">
        <v>243</v>
      </c>
      <c r="F75" s="45" t="s">
        <v>240</v>
      </c>
      <c r="G75" s="15">
        <v>34.5</v>
      </c>
      <c r="H75" s="15">
        <v>9.4600000000000009</v>
      </c>
      <c r="I75" s="15">
        <v>7.39</v>
      </c>
      <c r="J75" s="15">
        <v>23.06</v>
      </c>
      <c r="K75" s="15">
        <v>0.22</v>
      </c>
      <c r="L75" s="15">
        <v>6.19</v>
      </c>
      <c r="M75" s="15">
        <v>6.63</v>
      </c>
      <c r="N75" s="15">
        <v>0.21</v>
      </c>
      <c r="O75" s="15">
        <v>1.54</v>
      </c>
      <c r="P75" s="15">
        <v>4.21</v>
      </c>
      <c r="Q75" s="15">
        <v>6.6500000000000057</v>
      </c>
      <c r="R75" s="15"/>
      <c r="S75" s="15">
        <f t="shared" si="173"/>
        <v>93.409999999999982</v>
      </c>
      <c r="T75" s="16"/>
      <c r="U75" s="37"/>
      <c r="V75" s="37"/>
      <c r="AF75" s="19">
        <f t="shared" si="174"/>
        <v>0.3848336157601574</v>
      </c>
      <c r="AG75" s="20">
        <f t="shared" si="175"/>
        <v>56712.700000000004</v>
      </c>
      <c r="AH75" s="20">
        <f t="shared" si="176"/>
        <v>12785.08</v>
      </c>
      <c r="AI75" s="20">
        <f t="shared" si="177"/>
        <v>18372.439999999999</v>
      </c>
      <c r="AJ75" s="19">
        <f t="shared" si="178"/>
        <v>1.75</v>
      </c>
      <c r="AK75" s="19">
        <f t="shared" si="179"/>
        <v>7.3333333333333339</v>
      </c>
      <c r="AL75" s="19">
        <f t="shared" si="180"/>
        <v>0.13636363636363635</v>
      </c>
      <c r="AM75" s="19">
        <f t="shared" si="181"/>
        <v>0.89715832205683355</v>
      </c>
      <c r="AN75" s="19">
        <f t="shared" si="182"/>
        <v>0.2083897158322057</v>
      </c>
      <c r="AO75" s="19">
        <f t="shared" si="183"/>
        <v>0.27230335879620537</v>
      </c>
      <c r="AP75" s="19">
        <f t="shared" si="184"/>
        <v>3.6723748264464495</v>
      </c>
      <c r="AQ75" s="19">
        <f t="shared" si="185"/>
        <v>0.52536401401700994</v>
      </c>
      <c r="AR75" s="19">
        <f t="shared" si="186"/>
        <v>0.27230335879620537</v>
      </c>
      <c r="AS75" s="20">
        <f t="shared" si="187"/>
        <v>1663.7861839947113</v>
      </c>
      <c r="AT75" s="20">
        <f t="shared" si="188"/>
        <v>1165.848654366308</v>
      </c>
      <c r="AU75" s="19">
        <f t="shared" si="189"/>
        <v>4.4637681159420288E-2</v>
      </c>
      <c r="AV75" s="19">
        <f t="shared" si="190"/>
        <v>0.22555642703027273</v>
      </c>
      <c r="AX75" s="16">
        <v>187</v>
      </c>
      <c r="AY75" s="16">
        <v>1180</v>
      </c>
      <c r="AZ75" s="16">
        <v>4910</v>
      </c>
      <c r="BA75" s="1">
        <v>2.2599999999999998</v>
      </c>
      <c r="BB75" s="16">
        <v>33</v>
      </c>
      <c r="BC75" s="16">
        <v>343</v>
      </c>
      <c r="BD75" s="16">
        <v>180</v>
      </c>
      <c r="BF75" s="16">
        <v>217</v>
      </c>
      <c r="BG75" s="16">
        <v>162</v>
      </c>
      <c r="BH75" s="16">
        <v>112</v>
      </c>
      <c r="BI75" s="16">
        <v>29.4</v>
      </c>
      <c r="BJ75" s="16">
        <v>755</v>
      </c>
      <c r="BK75" s="16">
        <v>248</v>
      </c>
      <c r="BL75" s="1">
        <v>18.100000000000001</v>
      </c>
      <c r="BM75" s="1">
        <v>10.4</v>
      </c>
      <c r="BN75" s="1">
        <v>192</v>
      </c>
      <c r="BO75" s="1">
        <v>338</v>
      </c>
      <c r="BP75" s="1">
        <v>34.9</v>
      </c>
      <c r="BQ75" s="1">
        <v>125</v>
      </c>
      <c r="BR75" s="1">
        <v>18</v>
      </c>
      <c r="BS75" s="1">
        <v>4.5599999999999996</v>
      </c>
      <c r="BT75" s="1">
        <v>11.5</v>
      </c>
      <c r="BU75" s="1">
        <v>1.43</v>
      </c>
      <c r="BV75" s="1">
        <v>6.84</v>
      </c>
      <c r="BW75" s="1">
        <v>1.08</v>
      </c>
      <c r="BX75" s="1">
        <v>2.44</v>
      </c>
      <c r="BY75" s="1">
        <v>0.32</v>
      </c>
      <c r="BZ75" s="1">
        <v>1.74</v>
      </c>
      <c r="CA75" s="1">
        <v>0.23</v>
      </c>
      <c r="CB75" s="1">
        <v>22</v>
      </c>
      <c r="CC75" s="1">
        <v>15.7</v>
      </c>
      <c r="CD75" s="1">
        <v>5.5</v>
      </c>
      <c r="CE75" s="1">
        <v>17.100000000000001</v>
      </c>
      <c r="CG75" s="22">
        <f>BN75/0.242</f>
        <v>793.38842975206614</v>
      </c>
      <c r="CH75" s="22">
        <f t="shared" si="191"/>
        <v>532.28346456692918</v>
      </c>
      <c r="CI75" s="22">
        <f t="shared" si="147"/>
        <v>362.40913811007266</v>
      </c>
      <c r="CJ75" s="22">
        <f t="shared" si="133"/>
        <v>260.41666666666669</v>
      </c>
      <c r="CK75" s="22">
        <f t="shared" si="134"/>
        <v>115.38461538461539</v>
      </c>
      <c r="CL75" s="22">
        <v>24.059100000000001</v>
      </c>
      <c r="CM75" s="22">
        <f t="shared" si="148"/>
        <v>54.245283018867923</v>
      </c>
      <c r="CN75" s="22">
        <f t="shared" si="149"/>
        <v>38.031914893617021</v>
      </c>
      <c r="CO75" s="22">
        <f t="shared" si="150"/>
        <v>26.409266409266408</v>
      </c>
      <c r="CP75" s="22">
        <f t="shared" si="151"/>
        <v>18.461538461538463</v>
      </c>
      <c r="CQ75" s="22">
        <f t="shared" si="152"/>
        <v>14.969325153374232</v>
      </c>
      <c r="CR75" s="22">
        <f t="shared" si="153"/>
        <v>12.5</v>
      </c>
      <c r="CS75" s="22">
        <f t="shared" si="154"/>
        <v>10.481927710843372</v>
      </c>
      <c r="CT75" s="22">
        <f t="shared" si="155"/>
        <v>9.1999999999999993</v>
      </c>
      <c r="CU75" s="22">
        <f t="shared" si="135"/>
        <v>19.798387096774192</v>
      </c>
      <c r="CV75" s="22">
        <f t="shared" si="136"/>
        <v>25.572916666666668</v>
      </c>
      <c r="CW75" s="22">
        <f t="shared" si="137"/>
        <v>0.77419354838709675</v>
      </c>
      <c r="CX75" s="20">
        <f t="shared" si="206"/>
        <v>228.68024193548388</v>
      </c>
      <c r="CY75" s="22">
        <f t="shared" si="156"/>
        <v>15.363636363636363</v>
      </c>
      <c r="CZ75" s="22">
        <f t="shared" si="138"/>
        <v>45.090909090909093</v>
      </c>
      <c r="DA75" s="22">
        <f t="shared" si="139"/>
        <v>10.388888888888889</v>
      </c>
      <c r="DB75" s="22">
        <f t="shared" si="207"/>
        <v>3.0443548387096775</v>
      </c>
      <c r="DC75" s="22">
        <f t="shared" si="146"/>
        <v>312.73885350318471</v>
      </c>
      <c r="DD75" s="22">
        <f t="shared" si="157"/>
        <v>1.5096153846153846</v>
      </c>
      <c r="DE75" s="22">
        <f t="shared" si="158"/>
        <v>5.9770114942528734</v>
      </c>
      <c r="DF75" s="22">
        <f t="shared" si="159"/>
        <v>9.0229885057471257</v>
      </c>
      <c r="DG75" s="19">
        <f t="shared" si="192"/>
        <v>8.4353741496598644</v>
      </c>
      <c r="DH75" s="20">
        <f t="shared" si="140"/>
        <v>66.588958333333338</v>
      </c>
      <c r="DI75" s="19">
        <f t="shared" si="141"/>
        <v>3.6630303976996337</v>
      </c>
      <c r="DJ75" s="22">
        <f t="shared" si="160"/>
        <v>834.78260869565213</v>
      </c>
      <c r="DK75" s="22">
        <f t="shared" si="161"/>
        <v>86.237872799137634</v>
      </c>
      <c r="DL75" s="22">
        <f t="shared" si="142"/>
        <v>6.8760330578512399</v>
      </c>
      <c r="DM75" s="22">
        <f t="shared" si="162"/>
        <v>110.3448275862069</v>
      </c>
      <c r="DN75" s="22">
        <f t="shared" si="163"/>
        <v>0.14480000000000001</v>
      </c>
      <c r="DO75" s="22">
        <f t="shared" si="164"/>
        <v>10.344827586206897</v>
      </c>
      <c r="DP75" s="20">
        <f t="shared" si="165"/>
        <v>678.16091954022988</v>
      </c>
      <c r="DQ75" s="22">
        <f t="shared" si="166"/>
        <v>9.44</v>
      </c>
      <c r="DR75" s="22">
        <f t="shared" si="167"/>
        <v>18.431641822959101</v>
      </c>
      <c r="DS75" s="19">
        <f t="shared" si="168"/>
        <v>0.96253191379630676</v>
      </c>
      <c r="DT75" s="23">
        <f t="shared" si="169"/>
        <v>8.4745762711864404E-4</v>
      </c>
      <c r="DU75" s="22">
        <f t="shared" si="193"/>
        <v>25.680272108843539</v>
      </c>
      <c r="DV75" s="22">
        <f t="shared" si="170"/>
        <v>23.846153846153847</v>
      </c>
      <c r="DW75" s="22">
        <f t="shared" si="130"/>
        <v>-4.0326922322640346E-2</v>
      </c>
      <c r="DX75" s="22">
        <f t="shared" si="194"/>
        <v>32.847682119205295</v>
      </c>
      <c r="DY75" s="22">
        <f t="shared" si="143"/>
        <v>2.0794701986754967</v>
      </c>
      <c r="DZ75" s="19">
        <f t="shared" si="171"/>
        <v>0.60150348654283381</v>
      </c>
      <c r="EA75" s="23">
        <f t="shared" si="144"/>
        <v>1.1770833333333333E-2</v>
      </c>
      <c r="EB75" s="19">
        <f t="shared" si="145"/>
        <v>6.3306451612903228E-2</v>
      </c>
      <c r="EC75" s="19">
        <f t="shared" si="172"/>
        <v>0.34784769616142036</v>
      </c>
      <c r="ED75" s="19"/>
      <c r="EE75" s="19">
        <f t="shared" si="195"/>
        <v>36.933947114869937</v>
      </c>
      <c r="EF75" s="19">
        <f t="shared" si="196"/>
        <v>10.12739535381651</v>
      </c>
      <c r="EG75" s="19">
        <f t="shared" si="197"/>
        <v>7.9113585269243138</v>
      </c>
      <c r="EH75" s="19">
        <f t="shared" si="198"/>
        <v>24.686864361417413</v>
      </c>
      <c r="EI75" s="19">
        <f t="shared" si="199"/>
        <v>0.2355208221817793</v>
      </c>
      <c r="EJ75" s="19">
        <f t="shared" si="200"/>
        <v>6.6266994968418809</v>
      </c>
      <c r="EK75" s="19">
        <f t="shared" si="201"/>
        <v>7.0977411412054394</v>
      </c>
      <c r="EL75" s="19">
        <f t="shared" si="202"/>
        <v>0.22481533026442568</v>
      </c>
      <c r="EM75" s="19">
        <f t="shared" si="203"/>
        <v>1.6486457552724552</v>
      </c>
      <c r="EN75" s="19">
        <f t="shared" si="204"/>
        <v>4.5070120972058678</v>
      </c>
      <c r="EO75" s="19">
        <f t="shared" si="205"/>
        <v>100.00000000000003</v>
      </c>
    </row>
    <row r="76" spans="1:145" s="30" customFormat="1" ht="14.5" customHeight="1">
      <c r="A76" s="24" t="s">
        <v>231</v>
      </c>
      <c r="B76" s="24">
        <v>3</v>
      </c>
      <c r="C76" s="42" t="s">
        <v>242</v>
      </c>
      <c r="D76" s="24" t="s">
        <v>241</v>
      </c>
      <c r="E76" s="42" t="s">
        <v>63</v>
      </c>
      <c r="F76" s="43" t="s">
        <v>240</v>
      </c>
      <c r="G76" s="27">
        <v>35.200000000000003</v>
      </c>
      <c r="H76" s="27">
        <v>9.14</v>
      </c>
      <c r="I76" s="27">
        <v>7.44</v>
      </c>
      <c r="J76" s="27">
        <v>23.86</v>
      </c>
      <c r="K76" s="27">
        <v>0.23</v>
      </c>
      <c r="L76" s="27">
        <v>5.81</v>
      </c>
      <c r="M76" s="27">
        <v>5.23</v>
      </c>
      <c r="N76" s="27">
        <v>0.19</v>
      </c>
      <c r="O76" s="27">
        <v>1.37</v>
      </c>
      <c r="P76" s="27">
        <v>3.15</v>
      </c>
      <c r="Q76" s="27">
        <v>8.4299999999999784</v>
      </c>
      <c r="R76" s="27"/>
      <c r="S76" s="27">
        <f t="shared" si="173"/>
        <v>91.620000000000019</v>
      </c>
      <c r="T76" s="28"/>
      <c r="U76" s="44"/>
      <c r="V76" s="44"/>
      <c r="AF76" s="19">
        <f t="shared" si="174"/>
        <v>0.36203555716643249</v>
      </c>
      <c r="AG76" s="32">
        <f t="shared" si="175"/>
        <v>54794.3</v>
      </c>
      <c r="AH76" s="32">
        <f t="shared" si="176"/>
        <v>11373.740000000002</v>
      </c>
      <c r="AI76" s="32">
        <f t="shared" si="177"/>
        <v>13746.6</v>
      </c>
      <c r="AJ76" s="31">
        <f t="shared" si="178"/>
        <v>1.56</v>
      </c>
      <c r="AK76" s="31">
        <f t="shared" si="179"/>
        <v>7.2105263157894743</v>
      </c>
      <c r="AL76" s="31">
        <f t="shared" si="180"/>
        <v>0.13868613138686131</v>
      </c>
      <c r="AM76" s="31">
        <f t="shared" si="181"/>
        <v>0.70295698924731176</v>
      </c>
      <c r="AN76" s="31">
        <f t="shared" si="182"/>
        <v>0.18413978494623656</v>
      </c>
      <c r="AO76" s="31">
        <f t="shared" si="183"/>
        <v>0.241319440784102</v>
      </c>
      <c r="AP76" s="31">
        <f t="shared" si="184"/>
        <v>4.1438849549409342</v>
      </c>
      <c r="AQ76" s="31">
        <f t="shared" si="185"/>
        <v>0.65816429142413313</v>
      </c>
      <c r="AR76" s="31">
        <f t="shared" si="186"/>
        <v>0.241319440784102</v>
      </c>
      <c r="AS76" s="32">
        <f t="shared" si="187"/>
        <v>1770.5105025796111</v>
      </c>
      <c r="AT76" s="32">
        <f t="shared" si="188"/>
        <v>1005.0917219664452</v>
      </c>
      <c r="AU76" s="31">
        <f t="shared" si="189"/>
        <v>3.8920454545454543E-2</v>
      </c>
      <c r="AV76" s="31">
        <f t="shared" si="190"/>
        <v>0.19930883729424922</v>
      </c>
      <c r="AX76" s="28">
        <v>180.5</v>
      </c>
      <c r="AY76" s="28">
        <v>1230</v>
      </c>
      <c r="AZ76" s="28">
        <v>1120</v>
      </c>
      <c r="BA76" s="24">
        <v>2.99</v>
      </c>
      <c r="BB76" s="28">
        <v>31</v>
      </c>
      <c r="BC76" s="28">
        <v>281</v>
      </c>
      <c r="BD76" s="28">
        <v>260</v>
      </c>
      <c r="BF76" s="28">
        <v>203</v>
      </c>
      <c r="BG76" s="28">
        <v>123</v>
      </c>
      <c r="BH76" s="28">
        <v>123</v>
      </c>
      <c r="BI76" s="28">
        <v>29</v>
      </c>
      <c r="BJ76" s="28">
        <v>616</v>
      </c>
      <c r="BK76" s="28">
        <v>268</v>
      </c>
      <c r="BL76" s="24">
        <v>14.2</v>
      </c>
      <c r="BM76" s="24">
        <v>14.1</v>
      </c>
      <c r="BN76" s="24">
        <v>248</v>
      </c>
      <c r="BO76" s="24">
        <v>460</v>
      </c>
      <c r="BP76" s="24">
        <v>49.1</v>
      </c>
      <c r="BQ76" s="24">
        <v>172</v>
      </c>
      <c r="BR76" s="24">
        <v>24</v>
      </c>
      <c r="BS76" s="24">
        <v>5.68</v>
      </c>
      <c r="BT76" s="24">
        <v>14</v>
      </c>
      <c r="BU76" s="24">
        <v>1.74</v>
      </c>
      <c r="BV76" s="24">
        <v>7.39</v>
      </c>
      <c r="BW76" s="24">
        <v>1.18</v>
      </c>
      <c r="BX76" s="24">
        <v>2.67</v>
      </c>
      <c r="BY76" s="24">
        <v>0.28999999999999998</v>
      </c>
      <c r="BZ76" s="24">
        <v>1.59</v>
      </c>
      <c r="CA76" s="24">
        <v>0.2</v>
      </c>
      <c r="CB76" s="24">
        <v>18</v>
      </c>
      <c r="CC76" s="24">
        <v>23.5</v>
      </c>
      <c r="CD76" s="24">
        <v>5.51</v>
      </c>
      <c r="CE76" s="24">
        <v>16.600000000000001</v>
      </c>
      <c r="CG76" s="34"/>
      <c r="CH76" s="34">
        <f t="shared" si="191"/>
        <v>724.40944881889766</v>
      </c>
      <c r="CI76" s="34">
        <f t="shared" si="147"/>
        <v>509.86500519210801</v>
      </c>
      <c r="CJ76" s="34">
        <f t="shared" si="133"/>
        <v>358.33333333333337</v>
      </c>
      <c r="CK76" s="34">
        <f t="shared" si="134"/>
        <v>153.84615384615384</v>
      </c>
      <c r="CL76" s="34">
        <v>25.059100000000001</v>
      </c>
      <c r="CM76" s="34">
        <f t="shared" si="148"/>
        <v>66.037735849056602</v>
      </c>
      <c r="CN76" s="34">
        <f t="shared" si="149"/>
        <v>46.276595744680847</v>
      </c>
      <c r="CO76" s="34">
        <f t="shared" si="150"/>
        <v>28.532818532818531</v>
      </c>
      <c r="CP76" s="34">
        <f t="shared" si="151"/>
        <v>20.17094017094017</v>
      </c>
      <c r="CQ76" s="34">
        <f t="shared" si="152"/>
        <v>16.380368098159508</v>
      </c>
      <c r="CR76" s="34">
        <f t="shared" si="153"/>
        <v>11.328124999999998</v>
      </c>
      <c r="CS76" s="34">
        <f t="shared" si="154"/>
        <v>9.5783132530120483</v>
      </c>
      <c r="CT76" s="34">
        <f t="shared" si="155"/>
        <v>8</v>
      </c>
      <c r="CU76" s="34">
        <f t="shared" si="135"/>
        <v>4.1791044776119399</v>
      </c>
      <c r="CV76" s="34">
        <f t="shared" si="136"/>
        <v>4.5161290322580649</v>
      </c>
      <c r="CW76" s="34">
        <f t="shared" si="137"/>
        <v>0.92537313432835822</v>
      </c>
      <c r="CX76" s="32">
        <f t="shared" si="206"/>
        <v>204.4563432835821</v>
      </c>
      <c r="CY76" s="34">
        <f t="shared" si="156"/>
        <v>25.555555555555557</v>
      </c>
      <c r="CZ76" s="34">
        <f t="shared" si="138"/>
        <v>48.638838475499092</v>
      </c>
      <c r="DA76" s="34">
        <f t="shared" si="139"/>
        <v>7.520833333333333</v>
      </c>
      <c r="DB76" s="34">
        <f t="shared" si="207"/>
        <v>2.2985074626865671</v>
      </c>
      <c r="DC76" s="34">
        <f t="shared" si="146"/>
        <v>47.659574468085104</v>
      </c>
      <c r="DD76" s="34">
        <f t="shared" si="157"/>
        <v>1.6666666666666667</v>
      </c>
      <c r="DE76" s="34">
        <f t="shared" si="158"/>
        <v>8.8679245283018862</v>
      </c>
      <c r="DF76" s="34">
        <f t="shared" si="159"/>
        <v>14.779874213836477</v>
      </c>
      <c r="DG76" s="31">
        <f t="shared" si="192"/>
        <v>9.2413793103448274</v>
      </c>
      <c r="DH76" s="32">
        <f t="shared" si="140"/>
        <v>45.861854838709682</v>
      </c>
      <c r="DI76" s="31">
        <f t="shared" si="141"/>
        <v>4.1930424389487122</v>
      </c>
      <c r="DJ76" s="34">
        <f t="shared" si="160"/>
        <v>1240</v>
      </c>
      <c r="DK76" s="34">
        <f t="shared" si="161"/>
        <v>0</v>
      </c>
      <c r="DL76" s="34">
        <f t="shared" si="142"/>
        <v>0</v>
      </c>
      <c r="DM76" s="34">
        <f t="shared" si="162"/>
        <v>155.9748427672956</v>
      </c>
      <c r="DN76" s="34">
        <f t="shared" si="163"/>
        <v>8.2558139534883723E-2</v>
      </c>
      <c r="DO76" s="34">
        <f t="shared" si="164"/>
        <v>15.094339622641508</v>
      </c>
      <c r="DP76" s="32">
        <f t="shared" si="165"/>
        <v>773.58490566037733</v>
      </c>
      <c r="DQ76" s="34">
        <f t="shared" si="166"/>
        <v>7.1511627906976747</v>
      </c>
      <c r="DR76" s="34">
        <f t="shared" si="167"/>
        <v>15.080045797344251</v>
      </c>
      <c r="DS76" s="31">
        <f t="shared" si="168"/>
        <v>0.94105317654268683</v>
      </c>
      <c r="DT76" s="35">
        <f t="shared" si="169"/>
        <v>8.1300813008130081E-4</v>
      </c>
      <c r="DU76" s="34">
        <f t="shared" si="193"/>
        <v>21.241379310344829</v>
      </c>
      <c r="DV76" s="34">
        <f t="shared" si="170"/>
        <v>19.00709219858156</v>
      </c>
      <c r="DW76" s="34">
        <f t="shared" si="130"/>
        <v>0.15754598474013148</v>
      </c>
      <c r="DX76" s="34">
        <f t="shared" si="194"/>
        <v>43.506493506493506</v>
      </c>
      <c r="DY76" s="34">
        <f t="shared" si="143"/>
        <v>3.8149350649350651</v>
      </c>
      <c r="DZ76" s="31">
        <f t="shared" si="171"/>
        <v>0.46409435934568893</v>
      </c>
      <c r="EA76" s="35">
        <f t="shared" si="144"/>
        <v>1.2056451612903227E-2</v>
      </c>
      <c r="EB76" s="31">
        <f t="shared" si="145"/>
        <v>8.7686567164179108E-2</v>
      </c>
      <c r="EC76" s="31">
        <f t="shared" si="172"/>
        <v>0.20567919189540759</v>
      </c>
      <c r="ED76" s="31"/>
      <c r="EE76" s="31">
        <f t="shared" si="195"/>
        <v>38.419559048242739</v>
      </c>
      <c r="EF76" s="31">
        <f t="shared" si="196"/>
        <v>9.975987775594847</v>
      </c>
      <c r="EG76" s="31">
        <f t="shared" si="197"/>
        <v>8.1204977079240326</v>
      </c>
      <c r="EH76" s="31">
        <f t="shared" si="198"/>
        <v>26.042348832132717</v>
      </c>
      <c r="EI76" s="31">
        <f t="shared" si="199"/>
        <v>0.25103689150840425</v>
      </c>
      <c r="EJ76" s="31">
        <f t="shared" si="200"/>
        <v>6.3414101724514289</v>
      </c>
      <c r="EK76" s="31">
        <f t="shared" si="201"/>
        <v>5.7083606199519741</v>
      </c>
      <c r="EL76" s="31">
        <f t="shared" si="202"/>
        <v>0.20737830168085566</v>
      </c>
      <c r="EM76" s="31">
        <f t="shared" si="203"/>
        <v>1.4953067015935382</v>
      </c>
      <c r="EN76" s="31">
        <f t="shared" si="204"/>
        <v>3.4381139489194492</v>
      </c>
      <c r="EO76" s="31">
        <f t="shared" si="205"/>
        <v>100</v>
      </c>
    </row>
    <row r="77" spans="1:145" s="18" customFormat="1" ht="14.5" customHeight="1">
      <c r="A77" s="1" t="s">
        <v>231</v>
      </c>
      <c r="B77" s="1">
        <v>3</v>
      </c>
      <c r="C77" s="11" t="s">
        <v>238</v>
      </c>
      <c r="D77" s="1" t="s">
        <v>239</v>
      </c>
      <c r="E77" s="12" t="s">
        <v>12</v>
      </c>
      <c r="F77" s="13"/>
      <c r="G77" s="15">
        <v>30.24</v>
      </c>
      <c r="H77" s="15">
        <v>7.06</v>
      </c>
      <c r="I77" s="15">
        <v>2.59</v>
      </c>
      <c r="J77" s="15">
        <f>5.88+1.11*8.62</f>
        <v>15.4482</v>
      </c>
      <c r="K77" s="15">
        <v>0.21</v>
      </c>
      <c r="L77" s="15">
        <v>24.12</v>
      </c>
      <c r="M77" s="15">
        <v>9.17</v>
      </c>
      <c r="N77" s="15">
        <v>0.86</v>
      </c>
      <c r="O77" s="15">
        <v>2.17</v>
      </c>
      <c r="P77" s="15">
        <v>0.5</v>
      </c>
      <c r="Q77" s="15"/>
      <c r="R77" s="15"/>
      <c r="S77" s="15">
        <f t="shared" si="173"/>
        <v>92.368200000000002</v>
      </c>
      <c r="T77" s="16"/>
      <c r="U77" s="17">
        <v>0.70506000000000002</v>
      </c>
      <c r="V77" s="17">
        <v>0.51239999999999997</v>
      </c>
      <c r="W77" s="18">
        <v>18.62</v>
      </c>
      <c r="X77" s="18">
        <v>15.52</v>
      </c>
      <c r="Y77" s="18">
        <v>39.14</v>
      </c>
      <c r="AF77" s="19">
        <f t="shared" si="174"/>
        <v>0.7844232276585652</v>
      </c>
      <c r="AG77" s="20">
        <f t="shared" si="175"/>
        <v>42324.7</v>
      </c>
      <c r="AH77" s="20">
        <f t="shared" si="176"/>
        <v>18015.34</v>
      </c>
      <c r="AI77" s="20">
        <f t="shared" si="177"/>
        <v>2182</v>
      </c>
      <c r="AJ77" s="19">
        <f t="shared" si="178"/>
        <v>3.03</v>
      </c>
      <c r="AK77" s="19">
        <f t="shared" si="179"/>
        <v>2.5232558139534884</v>
      </c>
      <c r="AL77" s="19">
        <f t="shared" si="180"/>
        <v>0.39631336405529954</v>
      </c>
      <c r="AM77" s="19">
        <f t="shared" si="181"/>
        <v>3.5405405405405408</v>
      </c>
      <c r="AN77" s="19">
        <f t="shared" si="182"/>
        <v>0.83783783783783783</v>
      </c>
      <c r="AO77" s="19">
        <f t="shared" si="183"/>
        <v>1.453088928074284</v>
      </c>
      <c r="AP77" s="19">
        <f t="shared" si="184"/>
        <v>0.68818912640484897</v>
      </c>
      <c r="AQ77" s="19">
        <f t="shared" si="185"/>
        <v>0.1267394066579107</v>
      </c>
      <c r="AR77" s="19">
        <f t="shared" si="186"/>
        <v>1.453088928074284</v>
      </c>
      <c r="AS77" s="20">
        <f t="shared" si="187"/>
        <v>1339.231498829316</v>
      </c>
      <c r="AT77" s="20">
        <f t="shared" si="188"/>
        <v>2385.586036966361</v>
      </c>
      <c r="AU77" s="19">
        <f t="shared" si="189"/>
        <v>7.1759259259259259E-2</v>
      </c>
      <c r="AV77" s="19">
        <f t="shared" si="190"/>
        <v>0.90685717564698454</v>
      </c>
      <c r="AX77" s="16">
        <v>153</v>
      </c>
      <c r="AY77" s="16">
        <v>1126</v>
      </c>
      <c r="AZ77" s="16">
        <v>820</v>
      </c>
      <c r="BA77" s="21"/>
      <c r="BB77" s="16"/>
      <c r="BC77" s="16">
        <v>126</v>
      </c>
      <c r="BD77" s="16">
        <v>1111</v>
      </c>
      <c r="BF77" s="16">
        <v>790</v>
      </c>
      <c r="BG77" s="16">
        <v>105</v>
      </c>
      <c r="BH77" s="16">
        <v>118</v>
      </c>
      <c r="BI77" s="16">
        <v>21.4</v>
      </c>
      <c r="BJ77" s="16">
        <v>460</v>
      </c>
      <c r="BK77" s="16">
        <v>225</v>
      </c>
      <c r="BL77" s="21">
        <v>8.6</v>
      </c>
      <c r="BM77" s="21"/>
      <c r="BN77" s="41">
        <v>152</v>
      </c>
      <c r="BO77" s="41">
        <v>312</v>
      </c>
      <c r="BP77" s="21"/>
      <c r="BQ77" s="41">
        <v>140</v>
      </c>
      <c r="BR77" s="21">
        <v>23.1</v>
      </c>
      <c r="BS77" s="21">
        <v>5</v>
      </c>
      <c r="BT77" s="21">
        <v>17.2</v>
      </c>
      <c r="BU77" s="21"/>
      <c r="BV77" s="21">
        <v>7.3</v>
      </c>
      <c r="BW77" s="21">
        <v>1.43</v>
      </c>
      <c r="BX77" s="21">
        <v>2.76</v>
      </c>
      <c r="BY77" s="21"/>
      <c r="BZ77" s="21">
        <v>1.39</v>
      </c>
      <c r="CA77" s="21"/>
      <c r="CB77" s="21"/>
      <c r="CC77" s="21"/>
      <c r="CD77" s="21"/>
      <c r="CE77" s="21"/>
      <c r="CG77" s="22">
        <f t="shared" ref="CG77:CG83" si="208">BN77/0.242</f>
        <v>628.09917355371908</v>
      </c>
      <c r="CH77" s="22">
        <f t="shared" si="191"/>
        <v>491.33858267716533</v>
      </c>
      <c r="CI77" s="22"/>
      <c r="CJ77" s="22">
        <f t="shared" si="133"/>
        <v>291.66666666666669</v>
      </c>
      <c r="CK77" s="22">
        <f t="shared" si="134"/>
        <v>148.07692307692309</v>
      </c>
      <c r="CL77" s="22">
        <v>26.059100000000001</v>
      </c>
      <c r="CM77" s="22">
        <f t="shared" si="148"/>
        <v>81.132075471698116</v>
      </c>
      <c r="CN77" s="22"/>
      <c r="CO77" s="22">
        <f t="shared" si="150"/>
        <v>28.185328185328185</v>
      </c>
      <c r="CP77" s="22">
        <f t="shared" si="151"/>
        <v>24.444444444444443</v>
      </c>
      <c r="CQ77" s="22">
        <f t="shared" si="152"/>
        <v>16.932515337423311</v>
      </c>
      <c r="CR77" s="22"/>
      <c r="CS77" s="22">
        <f t="shared" si="154"/>
        <v>8.3734939759036138</v>
      </c>
      <c r="CT77" s="22"/>
      <c r="CU77" s="22">
        <f t="shared" si="135"/>
        <v>3.6444444444444444</v>
      </c>
      <c r="CV77" s="22">
        <f t="shared" si="136"/>
        <v>5.3947368421052628</v>
      </c>
      <c r="CW77" s="22">
        <f t="shared" si="137"/>
        <v>0.67555555555555558</v>
      </c>
      <c r="CX77" s="20">
        <f t="shared" si="206"/>
        <v>188.10977777777777</v>
      </c>
      <c r="CY77" s="22"/>
      <c r="CZ77" s="22"/>
      <c r="DA77" s="22">
        <f t="shared" si="139"/>
        <v>6.6233766233766227</v>
      </c>
      <c r="DB77" s="22">
        <f t="shared" si="207"/>
        <v>2.0444444444444443</v>
      </c>
      <c r="DC77" s="22"/>
      <c r="DD77" s="22"/>
      <c r="DE77" s="22"/>
      <c r="DF77" s="22"/>
      <c r="DG77" s="19"/>
      <c r="DH77" s="20">
        <f t="shared" si="140"/>
        <v>118.52197368421052</v>
      </c>
      <c r="DI77" s="19"/>
      <c r="DJ77" s="22"/>
      <c r="DK77" s="22"/>
      <c r="DL77" s="22">
        <f t="shared" si="142"/>
        <v>4.2417087045186221</v>
      </c>
      <c r="DM77" s="22">
        <f t="shared" si="162"/>
        <v>109.35251798561151</v>
      </c>
      <c r="DN77" s="22">
        <f t="shared" si="163"/>
        <v>6.1428571428571423E-2</v>
      </c>
      <c r="DO77" s="22">
        <f t="shared" si="164"/>
        <v>16.618705035971225</v>
      </c>
      <c r="DP77" s="20">
        <f t="shared" si="165"/>
        <v>810.07194244604318</v>
      </c>
      <c r="DQ77" s="22">
        <f t="shared" si="166"/>
        <v>8.0428571428571427</v>
      </c>
      <c r="DR77" s="22">
        <f t="shared" si="167"/>
        <v>12.695077744658263</v>
      </c>
      <c r="DS77" s="19">
        <f t="shared" si="168"/>
        <v>0.76178998515783347</v>
      </c>
      <c r="DT77" s="23">
        <f t="shared" si="169"/>
        <v>8.8809946714031975E-4</v>
      </c>
      <c r="DU77" s="22">
        <f t="shared" si="193"/>
        <v>21.495327102803738</v>
      </c>
      <c r="DV77" s="22"/>
      <c r="DW77" s="22">
        <f t="shared" si="130"/>
        <v>0.20366815276399608</v>
      </c>
      <c r="DX77" s="22">
        <f t="shared" si="194"/>
        <v>48.913043478260867</v>
      </c>
      <c r="DY77" s="22"/>
      <c r="DZ77" s="19">
        <f t="shared" si="171"/>
        <v>0.8816748744347872</v>
      </c>
      <c r="EA77" s="23"/>
      <c r="EB77" s="19"/>
      <c r="EC77" s="19"/>
      <c r="ED77" s="19"/>
      <c r="EE77" s="19">
        <f t="shared" si="195"/>
        <v>32.738539887104004</v>
      </c>
      <c r="EF77" s="19">
        <f t="shared" si="196"/>
        <v>7.6433231350183286</v>
      </c>
      <c r="EG77" s="19">
        <f t="shared" si="197"/>
        <v>2.8039953144047409</v>
      </c>
      <c r="EH77" s="19">
        <f t="shared" si="198"/>
        <v>16.724587033199736</v>
      </c>
      <c r="EI77" s="19">
        <f t="shared" si="199"/>
        <v>0.22735097143822225</v>
      </c>
      <c r="EJ77" s="19">
        <f t="shared" si="200"/>
        <v>26.112883005190099</v>
      </c>
      <c r="EK77" s="19">
        <f t="shared" si="201"/>
        <v>9.927659086135705</v>
      </c>
      <c r="EL77" s="19">
        <f t="shared" si="202"/>
        <v>0.93105635922319585</v>
      </c>
      <c r="EM77" s="19">
        <f t="shared" si="203"/>
        <v>2.3492933715282964</v>
      </c>
      <c r="EN77" s="19">
        <f t="shared" si="204"/>
        <v>0.54131183675767203</v>
      </c>
      <c r="EO77" s="19">
        <f t="shared" si="205"/>
        <v>99.999999999999986</v>
      </c>
    </row>
    <row r="78" spans="1:145" s="18" customFormat="1" ht="14.5" customHeight="1">
      <c r="A78" s="1" t="s">
        <v>231</v>
      </c>
      <c r="B78" s="1">
        <v>3</v>
      </c>
      <c r="C78" s="11" t="s">
        <v>238</v>
      </c>
      <c r="D78" s="1" t="s">
        <v>239</v>
      </c>
      <c r="E78" s="12" t="s">
        <v>12</v>
      </c>
      <c r="F78" s="13"/>
      <c r="G78" s="15">
        <v>30.47</v>
      </c>
      <c r="H78" s="15">
        <v>6.01</v>
      </c>
      <c r="I78" s="15">
        <v>3.33</v>
      </c>
      <c r="J78" s="15">
        <f>7.09+1.11*5.01</f>
        <v>12.6511</v>
      </c>
      <c r="K78" s="15">
        <v>0.16</v>
      </c>
      <c r="L78" s="15">
        <v>14.87</v>
      </c>
      <c r="M78" s="15">
        <v>11.95</v>
      </c>
      <c r="N78" s="15">
        <v>0.83</v>
      </c>
      <c r="O78" s="15">
        <v>2.0099999999999998</v>
      </c>
      <c r="P78" s="15">
        <v>1.5</v>
      </c>
      <c r="Q78" s="15"/>
      <c r="R78" s="15"/>
      <c r="S78" s="15">
        <f t="shared" si="173"/>
        <v>83.781099999999995</v>
      </c>
      <c r="T78" s="16"/>
      <c r="U78" s="17"/>
      <c r="V78" s="17">
        <v>0.51229100000000005</v>
      </c>
      <c r="W78" s="18">
        <v>18.37</v>
      </c>
      <c r="X78" s="18">
        <v>15.52</v>
      </c>
      <c r="Y78" s="18">
        <v>39.159999999999997</v>
      </c>
      <c r="AF78" s="19">
        <f t="shared" si="174"/>
        <v>0.73256672247310195</v>
      </c>
      <c r="AG78" s="20">
        <f t="shared" si="175"/>
        <v>36029.949999999997</v>
      </c>
      <c r="AH78" s="20">
        <f t="shared" si="176"/>
        <v>16687.019999999997</v>
      </c>
      <c r="AI78" s="20">
        <f t="shared" si="177"/>
        <v>6546</v>
      </c>
      <c r="AJ78" s="19">
        <f t="shared" si="178"/>
        <v>2.84</v>
      </c>
      <c r="AK78" s="19">
        <f t="shared" si="179"/>
        <v>2.4216867469879517</v>
      </c>
      <c r="AL78" s="19">
        <f t="shared" si="180"/>
        <v>0.41293532338308458</v>
      </c>
      <c r="AM78" s="19">
        <f t="shared" si="181"/>
        <v>3.5885885885885886</v>
      </c>
      <c r="AN78" s="19">
        <f t="shared" si="182"/>
        <v>0.60360360360360354</v>
      </c>
      <c r="AO78" s="19">
        <f t="shared" si="183"/>
        <v>1.0633538897725208</v>
      </c>
      <c r="AP78" s="19">
        <f t="shared" si="184"/>
        <v>0.94042069119051808</v>
      </c>
      <c r="AQ78" s="19">
        <f t="shared" si="185"/>
        <v>0.1317900243234118</v>
      </c>
      <c r="AR78" s="19">
        <f t="shared" si="186"/>
        <v>1.0633538897725208</v>
      </c>
      <c r="AS78" s="20">
        <f t="shared" si="187"/>
        <v>1596.6241131104323</v>
      </c>
      <c r="AT78" s="20">
        <f t="shared" si="188"/>
        <v>2445.844943108912</v>
      </c>
      <c r="AU78" s="19">
        <f t="shared" si="189"/>
        <v>6.5966524450278952E-2</v>
      </c>
      <c r="AV78" s="19">
        <f t="shared" si="190"/>
        <v>0.65332721256288129</v>
      </c>
      <c r="AX78" s="16">
        <v>219</v>
      </c>
      <c r="AY78" s="16">
        <v>1270</v>
      </c>
      <c r="AZ78" s="16">
        <v>1620</v>
      </c>
      <c r="BA78" s="21"/>
      <c r="BB78" s="16"/>
      <c r="BC78" s="16">
        <v>75</v>
      </c>
      <c r="BD78" s="16">
        <v>675</v>
      </c>
      <c r="BF78" s="16">
        <v>411</v>
      </c>
      <c r="BG78" s="16">
        <v>111</v>
      </c>
      <c r="BH78" s="16">
        <v>106</v>
      </c>
      <c r="BI78" s="16">
        <v>22.6</v>
      </c>
      <c r="BJ78" s="16">
        <v>570</v>
      </c>
      <c r="BK78" s="16">
        <v>253</v>
      </c>
      <c r="BL78" s="21">
        <v>10.199999999999999</v>
      </c>
      <c r="BM78" s="21"/>
      <c r="BN78" s="41">
        <v>191</v>
      </c>
      <c r="BO78" s="41">
        <v>384</v>
      </c>
      <c r="BP78" s="21"/>
      <c r="BQ78" s="41">
        <v>166</v>
      </c>
      <c r="BR78" s="21">
        <v>25.9</v>
      </c>
      <c r="BS78" s="21">
        <v>5.7</v>
      </c>
      <c r="BT78" s="21">
        <v>20.2</v>
      </c>
      <c r="BU78" s="21"/>
      <c r="BV78" s="21">
        <v>8</v>
      </c>
      <c r="BW78" s="21">
        <v>1.93</v>
      </c>
      <c r="BX78" s="21">
        <v>3.28</v>
      </c>
      <c r="BY78" s="21"/>
      <c r="BZ78" s="21">
        <v>1.49</v>
      </c>
      <c r="CA78" s="21"/>
      <c r="CB78" s="21"/>
      <c r="CC78" s="21"/>
      <c r="CD78" s="21"/>
      <c r="CE78" s="21"/>
      <c r="CG78" s="22">
        <f t="shared" si="208"/>
        <v>789.25619834710744</v>
      </c>
      <c r="CH78" s="22">
        <f t="shared" si="191"/>
        <v>604.72440944881885</v>
      </c>
      <c r="CI78" s="22"/>
      <c r="CJ78" s="22">
        <f t="shared" si="133"/>
        <v>345.83333333333337</v>
      </c>
      <c r="CK78" s="22">
        <f t="shared" si="134"/>
        <v>166.02564102564102</v>
      </c>
      <c r="CL78" s="22">
        <v>27.059100000000001</v>
      </c>
      <c r="CM78" s="22">
        <f t="shared" si="148"/>
        <v>95.283018867924525</v>
      </c>
      <c r="CN78" s="22"/>
      <c r="CO78" s="22">
        <f t="shared" si="150"/>
        <v>30.888030888030887</v>
      </c>
      <c r="CP78" s="22">
        <f t="shared" si="151"/>
        <v>32.991452991452988</v>
      </c>
      <c r="CQ78" s="22">
        <f t="shared" si="152"/>
        <v>20.122699386503065</v>
      </c>
      <c r="CR78" s="22"/>
      <c r="CS78" s="22">
        <f t="shared" si="154"/>
        <v>8.975903614457831</v>
      </c>
      <c r="CT78" s="22"/>
      <c r="CU78" s="22">
        <f t="shared" si="135"/>
        <v>6.4031620553359687</v>
      </c>
      <c r="CV78" s="22">
        <f t="shared" si="136"/>
        <v>8.4816753926701569</v>
      </c>
      <c r="CW78" s="22">
        <f t="shared" si="137"/>
        <v>0.75494071146245056</v>
      </c>
      <c r="CX78" s="20">
        <f t="shared" si="206"/>
        <v>142.41086956521738</v>
      </c>
      <c r="CY78" s="22"/>
      <c r="CZ78" s="22"/>
      <c r="DA78" s="22">
        <f t="shared" si="139"/>
        <v>8.4555984555984569</v>
      </c>
      <c r="DB78" s="22">
        <f t="shared" si="207"/>
        <v>2.2529644268774702</v>
      </c>
      <c r="DC78" s="22"/>
      <c r="DD78" s="22"/>
      <c r="DE78" s="22"/>
      <c r="DF78" s="22"/>
      <c r="DG78" s="19"/>
      <c r="DH78" s="20">
        <f t="shared" si="140"/>
        <v>87.366596858638729</v>
      </c>
      <c r="DI78" s="19"/>
      <c r="DJ78" s="22"/>
      <c r="DK78" s="22"/>
      <c r="DL78" s="22">
        <f t="shared" si="142"/>
        <v>4.7538211174574814</v>
      </c>
      <c r="DM78" s="22">
        <f t="shared" si="162"/>
        <v>128.18791946308724</v>
      </c>
      <c r="DN78" s="22">
        <f t="shared" si="163"/>
        <v>6.1445783132530116E-2</v>
      </c>
      <c r="DO78" s="22">
        <f t="shared" si="164"/>
        <v>17.382550335570468</v>
      </c>
      <c r="DP78" s="20">
        <f t="shared" si="165"/>
        <v>852.34899328859058</v>
      </c>
      <c r="DQ78" s="22">
        <f t="shared" si="166"/>
        <v>7.6506024096385543</v>
      </c>
      <c r="DR78" s="22">
        <f t="shared" si="167"/>
        <v>12.478010361201717</v>
      </c>
      <c r="DS78" s="19">
        <f t="shared" si="168"/>
        <v>0.75680633176047873</v>
      </c>
      <c r="DT78" s="23">
        <f t="shared" si="169"/>
        <v>7.874015748031496E-4</v>
      </c>
      <c r="DU78" s="22">
        <f t="shared" si="193"/>
        <v>25.221238938053094</v>
      </c>
      <c r="DV78" s="22"/>
      <c r="DW78" s="22">
        <f t="shared" si="130"/>
        <v>9.7620562300243297E-2</v>
      </c>
      <c r="DX78" s="22">
        <f t="shared" si="194"/>
        <v>44.385964912280699</v>
      </c>
      <c r="DY78" s="22"/>
      <c r="DZ78" s="19">
        <f t="shared" si="171"/>
        <v>1.1230992215305884</v>
      </c>
      <c r="EA78" s="23"/>
      <c r="EB78" s="19"/>
      <c r="EC78" s="19"/>
      <c r="ED78" s="19"/>
      <c r="EE78" s="19">
        <f t="shared" si="195"/>
        <v>36.368584322717176</v>
      </c>
      <c r="EF78" s="19">
        <f t="shared" si="196"/>
        <v>7.173455588432236</v>
      </c>
      <c r="EG78" s="19">
        <f t="shared" si="197"/>
        <v>3.9746434458368296</v>
      </c>
      <c r="EH78" s="19">
        <f t="shared" si="198"/>
        <v>15.100183692980876</v>
      </c>
      <c r="EI78" s="19">
        <f t="shared" si="199"/>
        <v>0.19097385925942725</v>
      </c>
      <c r="EJ78" s="19">
        <f t="shared" si="200"/>
        <v>17.748633044923022</v>
      </c>
      <c r="EK78" s="19">
        <f t="shared" si="201"/>
        <v>14.263360113438473</v>
      </c>
      <c r="EL78" s="19">
        <f t="shared" si="202"/>
        <v>0.99067689490827893</v>
      </c>
      <c r="EM78" s="19">
        <f t="shared" si="203"/>
        <v>2.3991091069465544</v>
      </c>
      <c r="EN78" s="19">
        <f t="shared" si="204"/>
        <v>1.7903799305571306</v>
      </c>
      <c r="EO78" s="19">
        <f t="shared" si="205"/>
        <v>100</v>
      </c>
    </row>
    <row r="79" spans="1:145" s="18" customFormat="1" ht="14.5" customHeight="1">
      <c r="A79" s="1" t="s">
        <v>231</v>
      </c>
      <c r="B79" s="1">
        <v>3</v>
      </c>
      <c r="C79" s="11" t="s">
        <v>238</v>
      </c>
      <c r="D79" s="1" t="s">
        <v>239</v>
      </c>
      <c r="E79" s="12" t="s">
        <v>12</v>
      </c>
      <c r="F79" s="13"/>
      <c r="G79" s="15">
        <v>38.71</v>
      </c>
      <c r="H79" s="15">
        <v>4.2699999999999996</v>
      </c>
      <c r="I79" s="15">
        <v>6.23</v>
      </c>
      <c r="J79" s="15">
        <f>4.41+1.11*6.93</f>
        <v>12.1023</v>
      </c>
      <c r="K79" s="15">
        <v>0.18</v>
      </c>
      <c r="L79" s="15">
        <v>20.75</v>
      </c>
      <c r="M79" s="15">
        <v>9.26</v>
      </c>
      <c r="N79" s="15">
        <v>0.92</v>
      </c>
      <c r="O79" s="15">
        <v>3.39</v>
      </c>
      <c r="P79" s="15">
        <v>0.84</v>
      </c>
      <c r="Q79" s="15"/>
      <c r="R79" s="15"/>
      <c r="S79" s="15">
        <f t="shared" si="173"/>
        <v>96.652300000000011</v>
      </c>
      <c r="T79" s="16"/>
      <c r="U79" s="17">
        <v>0.70686000000000004</v>
      </c>
      <c r="V79" s="17">
        <v>0.512127</v>
      </c>
      <c r="W79" s="18">
        <v>17.940000000000001</v>
      </c>
      <c r="X79" s="18">
        <v>15.52</v>
      </c>
      <c r="Y79" s="18">
        <v>38.68</v>
      </c>
      <c r="AF79" s="19">
        <f t="shared" si="174"/>
        <v>0.79983020130855809</v>
      </c>
      <c r="AG79" s="20">
        <f t="shared" si="175"/>
        <v>25598.649999999998</v>
      </c>
      <c r="AH79" s="20">
        <f t="shared" si="176"/>
        <v>28143.780000000002</v>
      </c>
      <c r="AI79" s="20">
        <f t="shared" si="177"/>
        <v>3665.7599999999998</v>
      </c>
      <c r="AJ79" s="19">
        <f t="shared" si="178"/>
        <v>4.3100000000000005</v>
      </c>
      <c r="AK79" s="19">
        <f t="shared" si="179"/>
        <v>3.6847826086956523</v>
      </c>
      <c r="AL79" s="19">
        <f t="shared" si="180"/>
        <v>0.27138643067846607</v>
      </c>
      <c r="AM79" s="19">
        <f t="shared" si="181"/>
        <v>1.4863563402889244</v>
      </c>
      <c r="AN79" s="19">
        <f t="shared" si="182"/>
        <v>0.54414125200642049</v>
      </c>
      <c r="AO79" s="19">
        <f t="shared" si="183"/>
        <v>0.83189473397122515</v>
      </c>
      <c r="AP79" s="19">
        <f t="shared" si="184"/>
        <v>1.2020751654795179</v>
      </c>
      <c r="AQ79" s="19">
        <f t="shared" si="185"/>
        <v>0.28294430716707725</v>
      </c>
      <c r="AR79" s="19">
        <f t="shared" si="186"/>
        <v>0.83189473397122515</v>
      </c>
      <c r="AS79" s="20">
        <f t="shared" si="187"/>
        <v>1820.5421260733751</v>
      </c>
      <c r="AT79" s="20">
        <f t="shared" si="188"/>
        <v>2153.7062233700603</v>
      </c>
      <c r="AU79" s="19">
        <f t="shared" si="189"/>
        <v>8.7574270214414884E-2</v>
      </c>
      <c r="AV79" s="19">
        <f t="shared" si="190"/>
        <v>0.58896647616321263</v>
      </c>
      <c r="AX79" s="16">
        <v>294</v>
      </c>
      <c r="AY79" s="16">
        <v>19500</v>
      </c>
      <c r="AZ79" s="16">
        <v>3400</v>
      </c>
      <c r="BA79" s="21"/>
      <c r="BB79" s="16"/>
      <c r="BC79" s="16">
        <v>132</v>
      </c>
      <c r="BD79" s="16">
        <v>930</v>
      </c>
      <c r="BF79" s="16">
        <v>730</v>
      </c>
      <c r="BG79" s="16">
        <v>78</v>
      </c>
      <c r="BH79" s="16">
        <v>107</v>
      </c>
      <c r="BI79" s="16">
        <v>25.5</v>
      </c>
      <c r="BJ79" s="16">
        <v>452</v>
      </c>
      <c r="BK79" s="16">
        <v>174</v>
      </c>
      <c r="BL79" s="21">
        <v>6.4</v>
      </c>
      <c r="BM79" s="21"/>
      <c r="BN79" s="41">
        <v>173</v>
      </c>
      <c r="BO79" s="41">
        <v>374</v>
      </c>
      <c r="BP79" s="21"/>
      <c r="BQ79" s="41">
        <v>165</v>
      </c>
      <c r="BR79" s="21">
        <v>25.1</v>
      </c>
      <c r="BS79" s="21">
        <v>5.4</v>
      </c>
      <c r="BT79" s="21">
        <v>28.8</v>
      </c>
      <c r="BU79" s="21"/>
      <c r="BV79" s="21">
        <v>7.7</v>
      </c>
      <c r="BW79" s="21">
        <v>1.52</v>
      </c>
      <c r="BX79" s="21">
        <v>2.78</v>
      </c>
      <c r="BY79" s="21"/>
      <c r="BZ79" s="21">
        <v>1.61</v>
      </c>
      <c r="CA79" s="21"/>
      <c r="CB79" s="21"/>
      <c r="CC79" s="21"/>
      <c r="CD79" s="21"/>
      <c r="CE79" s="21"/>
      <c r="CG79" s="22">
        <f t="shared" si="208"/>
        <v>714.87603305785126</v>
      </c>
      <c r="CH79" s="22">
        <f t="shared" si="191"/>
        <v>588.97637795275591</v>
      </c>
      <c r="CI79" s="22"/>
      <c r="CJ79" s="22">
        <f t="shared" si="133"/>
        <v>343.75</v>
      </c>
      <c r="CK79" s="22">
        <f t="shared" si="134"/>
        <v>160.89743589743591</v>
      </c>
      <c r="CL79" s="22">
        <v>28.059100000000001</v>
      </c>
      <c r="CM79" s="22">
        <f t="shared" si="148"/>
        <v>135.84905660377359</v>
      </c>
      <c r="CN79" s="22"/>
      <c r="CO79" s="22">
        <f t="shared" si="150"/>
        <v>29.72972972972973</v>
      </c>
      <c r="CP79" s="22">
        <f t="shared" si="151"/>
        <v>25.982905982905983</v>
      </c>
      <c r="CQ79" s="22">
        <f t="shared" si="152"/>
        <v>17.05521472392638</v>
      </c>
      <c r="CR79" s="22"/>
      <c r="CS79" s="22">
        <f t="shared" si="154"/>
        <v>9.6987951807228914</v>
      </c>
      <c r="CT79" s="22"/>
      <c r="CU79" s="22">
        <f t="shared" si="135"/>
        <v>19.540229885057471</v>
      </c>
      <c r="CV79" s="22">
        <f t="shared" si="136"/>
        <v>19.653179190751445</v>
      </c>
      <c r="CW79" s="22">
        <f t="shared" si="137"/>
        <v>0.99425287356321834</v>
      </c>
      <c r="CX79" s="20">
        <f t="shared" si="206"/>
        <v>147.11867816091953</v>
      </c>
      <c r="CY79" s="22"/>
      <c r="CZ79" s="22"/>
      <c r="DA79" s="22">
        <f t="shared" si="139"/>
        <v>11.713147410358564</v>
      </c>
      <c r="DB79" s="22">
        <f t="shared" si="207"/>
        <v>2.5977011494252875</v>
      </c>
      <c r="DC79" s="22"/>
      <c r="DD79" s="22"/>
      <c r="DE79" s="22"/>
      <c r="DF79" s="22"/>
      <c r="DG79" s="19">
        <f>BK79/BI79</f>
        <v>6.8235294117647056</v>
      </c>
      <c r="DH79" s="20">
        <f t="shared" si="140"/>
        <v>162.68080924855494</v>
      </c>
      <c r="DI79" s="19"/>
      <c r="DJ79" s="22"/>
      <c r="DK79" s="22"/>
      <c r="DL79" s="22">
        <f t="shared" si="142"/>
        <v>4.4430542293635371</v>
      </c>
      <c r="DM79" s="22">
        <f t="shared" si="162"/>
        <v>107.45341614906832</v>
      </c>
      <c r="DN79" s="22">
        <f t="shared" si="163"/>
        <v>3.8787878787878788E-2</v>
      </c>
      <c r="DO79" s="22">
        <f t="shared" si="164"/>
        <v>15.590062111801242</v>
      </c>
      <c r="DP79" s="20"/>
      <c r="DQ79" s="22">
        <f t="shared" si="166"/>
        <v>118.18181818181819</v>
      </c>
      <c r="DR79" s="22">
        <f t="shared" si="167"/>
        <v>162.99290285003843</v>
      </c>
      <c r="DS79" s="19">
        <f t="shared" si="168"/>
        <v>0.60995265099806495</v>
      </c>
      <c r="DT79" s="23">
        <f t="shared" si="169"/>
        <v>5.1282051282051279E-5</v>
      </c>
      <c r="DU79" s="22">
        <f t="shared" si="193"/>
        <v>17.725490196078432</v>
      </c>
      <c r="DV79" s="22"/>
      <c r="DW79" s="22">
        <f t="shared" si="130"/>
        <v>0.17670041944398429</v>
      </c>
      <c r="DX79" s="22">
        <f t="shared" si="194"/>
        <v>38.495575221238937</v>
      </c>
      <c r="DY79" s="22"/>
      <c r="DZ79" s="19">
        <f t="shared" si="171"/>
        <v>4.9131970462347491E-2</v>
      </c>
      <c r="EA79" s="23"/>
      <c r="EB79" s="19"/>
      <c r="EC79" s="19"/>
      <c r="ED79" s="19"/>
      <c r="EE79" s="19">
        <f t="shared" si="195"/>
        <v>40.050779960745885</v>
      </c>
      <c r="EF79" s="19">
        <f t="shared" si="196"/>
        <v>4.4178979703535237</v>
      </c>
      <c r="EG79" s="19">
        <f t="shared" si="197"/>
        <v>6.4457855633026835</v>
      </c>
      <c r="EH79" s="19">
        <f t="shared" si="198"/>
        <v>12.521481640892144</v>
      </c>
      <c r="EI79" s="19">
        <f t="shared" si="199"/>
        <v>0.18623457486267786</v>
      </c>
      <c r="EJ79" s="19">
        <f t="shared" si="200"/>
        <v>21.468707935558697</v>
      </c>
      <c r="EK79" s="19">
        <f t="shared" si="201"/>
        <v>9.58073424015776</v>
      </c>
      <c r="EL79" s="19">
        <f t="shared" si="202"/>
        <v>0.95186560485368676</v>
      </c>
      <c r="EM79" s="19">
        <f t="shared" si="203"/>
        <v>3.5074178265804328</v>
      </c>
      <c r="EN79" s="19">
        <f t="shared" si="204"/>
        <v>0.86909468269249657</v>
      </c>
      <c r="EO79" s="19">
        <f t="shared" si="205"/>
        <v>99.999999999999986</v>
      </c>
    </row>
    <row r="80" spans="1:145" s="18" customFormat="1" ht="14.5" customHeight="1">
      <c r="A80" s="1" t="s">
        <v>231</v>
      </c>
      <c r="B80" s="1">
        <v>3</v>
      </c>
      <c r="C80" s="11" t="s">
        <v>238</v>
      </c>
      <c r="D80" s="1" t="s">
        <v>239</v>
      </c>
      <c r="E80" s="12" t="s">
        <v>12</v>
      </c>
      <c r="F80" s="13"/>
      <c r="G80" s="15">
        <v>37.770000000000003</v>
      </c>
      <c r="H80" s="15">
        <v>3.53</v>
      </c>
      <c r="I80" s="15">
        <v>3.98</v>
      </c>
      <c r="J80" s="15">
        <f>5.34+1.11*6.28</f>
        <v>12.3108</v>
      </c>
      <c r="K80" s="15">
        <v>0.18</v>
      </c>
      <c r="L80" s="15">
        <v>22.58</v>
      </c>
      <c r="M80" s="15">
        <v>8.42</v>
      </c>
      <c r="N80" s="15">
        <v>0.87</v>
      </c>
      <c r="O80" s="15">
        <v>1.76</v>
      </c>
      <c r="P80" s="15">
        <v>0.9</v>
      </c>
      <c r="Q80" s="15"/>
      <c r="R80" s="15"/>
      <c r="S80" s="15">
        <f t="shared" si="173"/>
        <v>92.30080000000001</v>
      </c>
      <c r="T80" s="16"/>
      <c r="U80" s="17">
        <v>0.70548999999999995</v>
      </c>
      <c r="V80" s="17">
        <v>0.51223700000000005</v>
      </c>
      <c r="W80" s="18">
        <v>17.989999999999998</v>
      </c>
      <c r="X80" s="18">
        <v>15.45</v>
      </c>
      <c r="Y80" s="18">
        <v>38.369999999999997</v>
      </c>
      <c r="AF80" s="19">
        <f t="shared" si="174"/>
        <v>0.8104090648588318</v>
      </c>
      <c r="AG80" s="20">
        <f t="shared" si="175"/>
        <v>21162.35</v>
      </c>
      <c r="AH80" s="20">
        <f t="shared" si="176"/>
        <v>14611.52</v>
      </c>
      <c r="AI80" s="20">
        <f t="shared" si="177"/>
        <v>3927.6</v>
      </c>
      <c r="AJ80" s="19">
        <f t="shared" si="178"/>
        <v>2.63</v>
      </c>
      <c r="AK80" s="19">
        <f t="shared" si="179"/>
        <v>2.0229885057471266</v>
      </c>
      <c r="AL80" s="19">
        <f t="shared" si="180"/>
        <v>0.49431818181818182</v>
      </c>
      <c r="AM80" s="19">
        <f t="shared" si="181"/>
        <v>2.1155778894472359</v>
      </c>
      <c r="AN80" s="19">
        <f t="shared" si="182"/>
        <v>0.44221105527638194</v>
      </c>
      <c r="AO80" s="19">
        <f t="shared" si="183"/>
        <v>0.83823513685523121</v>
      </c>
      <c r="AP80" s="19">
        <f t="shared" si="184"/>
        <v>1.1929826799573862</v>
      </c>
      <c r="AQ80" s="19">
        <f t="shared" si="185"/>
        <v>0.21346525093391303</v>
      </c>
      <c r="AR80" s="19">
        <f t="shared" si="186"/>
        <v>0.83823513685523121</v>
      </c>
      <c r="AS80" s="20">
        <f t="shared" si="187"/>
        <v>2071.6450453253346</v>
      </c>
      <c r="AT80" s="20">
        <f t="shared" si="188"/>
        <v>2232.360249603556</v>
      </c>
      <c r="AU80" s="19">
        <f t="shared" si="189"/>
        <v>4.6597828964786862E-2</v>
      </c>
      <c r="AV80" s="19">
        <f t="shared" si="190"/>
        <v>0.47863948191061462</v>
      </c>
      <c r="AX80" s="16">
        <v>247</v>
      </c>
      <c r="AY80" s="16">
        <v>1507</v>
      </c>
      <c r="AZ80" s="16">
        <v>1270</v>
      </c>
      <c r="BA80" s="21"/>
      <c r="BB80" s="16"/>
      <c r="BC80" s="16">
        <v>79</v>
      </c>
      <c r="BD80" s="16">
        <v>1170</v>
      </c>
      <c r="BF80" s="16">
        <v>930</v>
      </c>
      <c r="BG80" s="16">
        <v>73</v>
      </c>
      <c r="BH80" s="16">
        <v>115</v>
      </c>
      <c r="BI80" s="16">
        <v>21.9</v>
      </c>
      <c r="BJ80" s="16">
        <v>453</v>
      </c>
      <c r="BK80" s="16">
        <v>170</v>
      </c>
      <c r="BL80" s="21">
        <v>6.1</v>
      </c>
      <c r="BM80" s="21"/>
      <c r="BN80" s="41">
        <v>148</v>
      </c>
      <c r="BO80" s="41">
        <v>312</v>
      </c>
      <c r="BP80" s="21"/>
      <c r="BQ80" s="41">
        <v>138</v>
      </c>
      <c r="BR80" s="21">
        <v>21.7</v>
      </c>
      <c r="BS80" s="21">
        <v>4.7</v>
      </c>
      <c r="BT80" s="21">
        <v>16.100000000000001</v>
      </c>
      <c r="BU80" s="21"/>
      <c r="BV80" s="21">
        <v>7</v>
      </c>
      <c r="BW80" s="21">
        <v>1.22</v>
      </c>
      <c r="BX80" s="21">
        <v>2.74</v>
      </c>
      <c r="BY80" s="21"/>
      <c r="BZ80" s="21">
        <v>1.44</v>
      </c>
      <c r="CA80" s="21"/>
      <c r="CB80" s="21"/>
      <c r="CC80" s="21"/>
      <c r="CD80" s="21"/>
      <c r="CE80" s="21"/>
      <c r="CG80" s="22">
        <f t="shared" si="208"/>
        <v>611.57024793388427</v>
      </c>
      <c r="CH80" s="22">
        <f t="shared" si="191"/>
        <v>491.33858267716533</v>
      </c>
      <c r="CI80" s="22"/>
      <c r="CJ80" s="22">
        <f t="shared" si="133"/>
        <v>287.5</v>
      </c>
      <c r="CK80" s="22">
        <f t="shared" si="134"/>
        <v>139.10256410256409</v>
      </c>
      <c r="CL80" s="22">
        <v>29.059100000000001</v>
      </c>
      <c r="CM80" s="22">
        <f t="shared" si="148"/>
        <v>75.943396226415103</v>
      </c>
      <c r="CN80" s="22"/>
      <c r="CO80" s="22">
        <f t="shared" si="150"/>
        <v>27.027027027027025</v>
      </c>
      <c r="CP80" s="22">
        <f t="shared" si="151"/>
        <v>20.854700854700852</v>
      </c>
      <c r="CQ80" s="22">
        <f t="shared" si="152"/>
        <v>16.809815950920246</v>
      </c>
      <c r="CR80" s="22"/>
      <c r="CS80" s="22">
        <f t="shared" si="154"/>
        <v>8.6746987951807224</v>
      </c>
      <c r="CT80" s="22"/>
      <c r="CU80" s="22">
        <f t="shared" si="135"/>
        <v>7.4705882352941178</v>
      </c>
      <c r="CV80" s="22">
        <f t="shared" si="136"/>
        <v>8.5810810810810807</v>
      </c>
      <c r="CW80" s="22">
        <f t="shared" si="137"/>
        <v>0.87058823529411766</v>
      </c>
      <c r="CX80" s="20">
        <f t="shared" si="206"/>
        <v>124.48441176470587</v>
      </c>
      <c r="CY80" s="22"/>
      <c r="CZ80" s="22"/>
      <c r="DA80" s="22">
        <f t="shared" si="139"/>
        <v>11.382488479262673</v>
      </c>
      <c r="DB80" s="22">
        <f t="shared" si="207"/>
        <v>2.664705882352941</v>
      </c>
      <c r="DC80" s="22"/>
      <c r="DD80" s="22"/>
      <c r="DE80" s="22"/>
      <c r="DF80" s="22"/>
      <c r="DG80" s="19">
        <f>BK80/BI80</f>
        <v>7.762557077625571</v>
      </c>
      <c r="DH80" s="20">
        <f t="shared" si="140"/>
        <v>98.726486486486493</v>
      </c>
      <c r="DI80" s="19"/>
      <c r="DJ80" s="22"/>
      <c r="DK80" s="22"/>
      <c r="DL80" s="22">
        <f t="shared" si="142"/>
        <v>4.39654187454774</v>
      </c>
      <c r="DM80" s="22">
        <f t="shared" si="162"/>
        <v>102.77777777777779</v>
      </c>
      <c r="DN80" s="22">
        <f t="shared" si="163"/>
        <v>4.4202898550724637E-2</v>
      </c>
      <c r="DO80" s="22">
        <f t="shared" si="164"/>
        <v>15.069444444444445</v>
      </c>
      <c r="DP80" s="20">
        <f>AY80/BZ80</f>
        <v>1046.5277777777778</v>
      </c>
      <c r="DQ80" s="22">
        <f t="shared" si="166"/>
        <v>10.920289855072463</v>
      </c>
      <c r="DR80" s="22">
        <f t="shared" si="167"/>
        <v>18.119142271918005</v>
      </c>
      <c r="DS80" s="19">
        <f t="shared" si="168"/>
        <v>0.76364325649684028</v>
      </c>
      <c r="DT80" s="23">
        <f t="shared" si="169"/>
        <v>6.6357000663570006E-4</v>
      </c>
      <c r="DU80" s="22">
        <f t="shared" si="193"/>
        <v>20.684931506849317</v>
      </c>
      <c r="DV80" s="22"/>
      <c r="DW80" s="22">
        <f t="shared" si="130"/>
        <v>0.10394895916654567</v>
      </c>
      <c r="DX80" s="22">
        <f t="shared" si="194"/>
        <v>37.527593818984549</v>
      </c>
      <c r="DY80" s="22"/>
      <c r="DZ80" s="19">
        <f t="shared" si="171"/>
        <v>0.60533163914858745</v>
      </c>
      <c r="EA80" s="23"/>
      <c r="EB80" s="19"/>
      <c r="EC80" s="19"/>
      <c r="ED80" s="19"/>
      <c r="EE80" s="19">
        <f t="shared" si="195"/>
        <v>40.920555401469976</v>
      </c>
      <c r="EF80" s="19">
        <f t="shared" si="196"/>
        <v>3.8244522257661901</v>
      </c>
      <c r="EG80" s="19">
        <f t="shared" si="197"/>
        <v>4.3119886284842597</v>
      </c>
      <c r="EH80" s="19">
        <f t="shared" si="198"/>
        <v>13.337695881292468</v>
      </c>
      <c r="EI80" s="19">
        <f t="shared" si="199"/>
        <v>0.19501456108722784</v>
      </c>
      <c r="EJ80" s="19">
        <f t="shared" si="200"/>
        <v>24.463493274164467</v>
      </c>
      <c r="EK80" s="19">
        <f t="shared" si="201"/>
        <v>9.1223478019692124</v>
      </c>
      <c r="EL80" s="19">
        <f t="shared" si="202"/>
        <v>0.94257037858826787</v>
      </c>
      <c r="EM80" s="19">
        <f t="shared" si="203"/>
        <v>1.9068090417417831</v>
      </c>
      <c r="EN80" s="19">
        <f t="shared" si="204"/>
        <v>0.97507280543613917</v>
      </c>
      <c r="EO80" s="19">
        <f t="shared" si="205"/>
        <v>99.999999999999986</v>
      </c>
    </row>
    <row r="81" spans="1:146" s="18" customFormat="1" ht="14.5" customHeight="1">
      <c r="A81" s="1" t="s">
        <v>231</v>
      </c>
      <c r="B81" s="1">
        <v>3</v>
      </c>
      <c r="C81" s="11" t="s">
        <v>238</v>
      </c>
      <c r="D81" s="1" t="s">
        <v>239</v>
      </c>
      <c r="E81" s="12" t="s">
        <v>12</v>
      </c>
      <c r="F81" s="13"/>
      <c r="G81" s="15">
        <v>37.64</v>
      </c>
      <c r="H81" s="15">
        <v>3.28</v>
      </c>
      <c r="I81" s="15">
        <v>4.0199999999999996</v>
      </c>
      <c r="J81" s="15">
        <f>5.09+1.11*6.2</f>
        <v>11.972000000000001</v>
      </c>
      <c r="K81" s="15">
        <v>0.17</v>
      </c>
      <c r="L81" s="15">
        <v>27.42</v>
      </c>
      <c r="M81" s="15">
        <v>7.59</v>
      </c>
      <c r="N81" s="15">
        <v>0.91</v>
      </c>
      <c r="O81" s="15">
        <v>1.1100000000000001</v>
      </c>
      <c r="P81" s="15">
        <v>0.3</v>
      </c>
      <c r="Q81" s="15"/>
      <c r="R81" s="15"/>
      <c r="S81" s="15">
        <f t="shared" si="173"/>
        <v>94.412000000000006</v>
      </c>
      <c r="T81" s="16"/>
      <c r="U81" s="17">
        <v>0.70498000000000005</v>
      </c>
      <c r="V81" s="17"/>
      <c r="W81" s="18">
        <v>18.03</v>
      </c>
      <c r="X81" s="18">
        <v>15.54</v>
      </c>
      <c r="Y81" s="18">
        <v>38.86</v>
      </c>
      <c r="AF81" s="19">
        <f t="shared" si="174"/>
        <v>0.8422127186040641</v>
      </c>
      <c r="AG81" s="20">
        <f t="shared" si="175"/>
        <v>19663.599999999999</v>
      </c>
      <c r="AH81" s="20">
        <f t="shared" si="176"/>
        <v>9215.2200000000012</v>
      </c>
      <c r="AI81" s="20">
        <f t="shared" si="177"/>
        <v>1309.2</v>
      </c>
      <c r="AJ81" s="19">
        <f t="shared" si="178"/>
        <v>2.02</v>
      </c>
      <c r="AK81" s="19">
        <f t="shared" si="179"/>
        <v>1.2197802197802199</v>
      </c>
      <c r="AL81" s="19">
        <f t="shared" si="180"/>
        <v>0.81981981981981977</v>
      </c>
      <c r="AM81" s="19">
        <f t="shared" si="181"/>
        <v>1.8880597014925375</v>
      </c>
      <c r="AN81" s="19">
        <f t="shared" si="182"/>
        <v>0.2761194029850747</v>
      </c>
      <c r="AO81" s="19">
        <f t="shared" si="183"/>
        <v>0.67125175838231566</v>
      </c>
      <c r="AP81" s="19">
        <f t="shared" si="184"/>
        <v>1.4897540118329846</v>
      </c>
      <c r="AQ81" s="19">
        <f t="shared" si="185"/>
        <v>0.24366678632614253</v>
      </c>
      <c r="AR81" s="19">
        <f t="shared" si="186"/>
        <v>0.67125175838231566</v>
      </c>
      <c r="AS81" s="20">
        <f t="shared" si="187"/>
        <v>2100.153040674682</v>
      </c>
      <c r="AT81" s="20">
        <f t="shared" si="188"/>
        <v>2343.2142940539197</v>
      </c>
      <c r="AU81" s="19">
        <f t="shared" si="189"/>
        <v>2.9489904357066953E-2</v>
      </c>
      <c r="AV81" s="19">
        <f t="shared" si="190"/>
        <v>0.29886554488702988</v>
      </c>
      <c r="AX81" s="16">
        <v>156</v>
      </c>
      <c r="AY81" s="16">
        <v>771</v>
      </c>
      <c r="AZ81" s="16">
        <v>1310</v>
      </c>
      <c r="BA81" s="21"/>
      <c r="BB81" s="16"/>
      <c r="BC81" s="16">
        <v>138</v>
      </c>
      <c r="BD81" s="16">
        <v>1959</v>
      </c>
      <c r="BF81" s="16">
        <v>1200</v>
      </c>
      <c r="BG81" s="16">
        <v>66</v>
      </c>
      <c r="BH81" s="16">
        <v>96</v>
      </c>
      <c r="BI81" s="16">
        <v>12.6</v>
      </c>
      <c r="BJ81" s="16">
        <v>310</v>
      </c>
      <c r="BK81" s="16">
        <v>106</v>
      </c>
      <c r="BL81" s="21">
        <v>7.2</v>
      </c>
      <c r="BM81" s="21"/>
      <c r="BN81" s="41">
        <v>77</v>
      </c>
      <c r="BO81" s="41">
        <v>151</v>
      </c>
      <c r="BP81" s="21"/>
      <c r="BQ81" s="41">
        <v>72</v>
      </c>
      <c r="BR81" s="21">
        <v>12.6</v>
      </c>
      <c r="BS81" s="21">
        <v>2.5</v>
      </c>
      <c r="BT81" s="21">
        <v>9.8000000000000007</v>
      </c>
      <c r="BU81" s="21"/>
      <c r="BV81" s="21">
        <v>4.2</v>
      </c>
      <c r="BW81" s="21">
        <v>0.98</v>
      </c>
      <c r="BX81" s="21">
        <v>2.1800000000000002</v>
      </c>
      <c r="BY81" s="21"/>
      <c r="BZ81" s="21">
        <v>0.97</v>
      </c>
      <c r="CA81" s="21"/>
      <c r="CB81" s="21"/>
      <c r="CC81" s="21"/>
      <c r="CD81" s="21"/>
      <c r="CE81" s="21"/>
      <c r="CG81" s="22">
        <f t="shared" si="208"/>
        <v>318.18181818181819</v>
      </c>
      <c r="CH81" s="22">
        <f t="shared" si="191"/>
        <v>237.79527559055117</v>
      </c>
      <c r="CI81" s="22"/>
      <c r="CJ81" s="22">
        <f t="shared" si="133"/>
        <v>150</v>
      </c>
      <c r="CK81" s="22">
        <f t="shared" si="134"/>
        <v>80.769230769230774</v>
      </c>
      <c r="CL81" s="22">
        <v>30.059100000000001</v>
      </c>
      <c r="CM81" s="22">
        <f t="shared" si="148"/>
        <v>46.226415094339629</v>
      </c>
      <c r="CN81" s="22"/>
      <c r="CO81" s="22">
        <f t="shared" si="150"/>
        <v>16.216216216216218</v>
      </c>
      <c r="CP81" s="22">
        <f t="shared" si="151"/>
        <v>16.752136752136749</v>
      </c>
      <c r="CQ81" s="22">
        <f t="shared" si="152"/>
        <v>13.374233128834357</v>
      </c>
      <c r="CR81" s="22"/>
      <c r="CS81" s="22">
        <f t="shared" si="154"/>
        <v>5.8433734939759034</v>
      </c>
      <c r="CT81" s="22"/>
      <c r="CU81" s="22">
        <f t="shared" si="135"/>
        <v>12.358490566037736</v>
      </c>
      <c r="CV81" s="22">
        <f t="shared" si="136"/>
        <v>17.012987012987011</v>
      </c>
      <c r="CW81" s="22">
        <f t="shared" si="137"/>
        <v>0.72641509433962259</v>
      </c>
      <c r="CX81" s="20">
        <f t="shared" si="206"/>
        <v>185.50566037735848</v>
      </c>
      <c r="CY81" s="22"/>
      <c r="CZ81" s="22"/>
      <c r="DA81" s="22">
        <f t="shared" si="139"/>
        <v>12.380952380952381</v>
      </c>
      <c r="DB81" s="22">
        <f t="shared" si="207"/>
        <v>2.9245283018867925</v>
      </c>
      <c r="DC81" s="22"/>
      <c r="DD81" s="22"/>
      <c r="DE81" s="22"/>
      <c r="DF81" s="22"/>
      <c r="DG81" s="19">
        <f>BK81/BI81</f>
        <v>8.412698412698413</v>
      </c>
      <c r="DH81" s="20">
        <f t="shared" si="140"/>
        <v>119.67818181818183</v>
      </c>
      <c r="DI81" s="19"/>
      <c r="DJ81" s="22"/>
      <c r="DK81" s="22"/>
      <c r="DL81" s="22">
        <f t="shared" si="142"/>
        <v>3.9393939393939394</v>
      </c>
      <c r="DM81" s="22">
        <f t="shared" si="162"/>
        <v>79.381443298969074</v>
      </c>
      <c r="DN81" s="22">
        <f t="shared" si="163"/>
        <v>0.1</v>
      </c>
      <c r="DO81" s="22">
        <f t="shared" si="164"/>
        <v>12.989690721649485</v>
      </c>
      <c r="DP81" s="20">
        <f>AY81/BZ81</f>
        <v>794.84536082474233</v>
      </c>
      <c r="DQ81" s="22">
        <f t="shared" si="166"/>
        <v>10.708333333333334</v>
      </c>
      <c r="DR81" s="22">
        <f t="shared" si="167"/>
        <v>15.592769370213011</v>
      </c>
      <c r="DS81" s="19">
        <f t="shared" si="168"/>
        <v>0.6832461076442059</v>
      </c>
      <c r="DT81" s="23">
        <f t="shared" si="169"/>
        <v>1.2970168612191958E-3</v>
      </c>
      <c r="DU81" s="22">
        <f t="shared" si="193"/>
        <v>24.603174603174605</v>
      </c>
      <c r="DV81" s="22"/>
      <c r="DW81" s="22">
        <f t="shared" si="130"/>
        <v>-5.7676853888750657E-3</v>
      </c>
      <c r="DX81" s="22">
        <f t="shared" si="194"/>
        <v>34.193548387096776</v>
      </c>
      <c r="DY81" s="22"/>
      <c r="DZ81" s="19">
        <f t="shared" si="171"/>
        <v>1.0427019845627352</v>
      </c>
      <c r="EA81" s="23"/>
      <c r="EB81" s="19"/>
      <c r="EC81" s="19"/>
      <c r="ED81" s="19"/>
      <c r="EE81" s="19">
        <f t="shared" si="195"/>
        <v>39.867813413549122</v>
      </c>
      <c r="EF81" s="19">
        <f t="shared" si="196"/>
        <v>3.4741346439011989</v>
      </c>
      <c r="EG81" s="19">
        <f t="shared" si="197"/>
        <v>4.2579333135618347</v>
      </c>
      <c r="EH81" s="19">
        <f t="shared" si="198"/>
        <v>12.680591450239376</v>
      </c>
      <c r="EI81" s="19">
        <f t="shared" si="199"/>
        <v>0.18006185654365969</v>
      </c>
      <c r="EJ81" s="19">
        <f t="shared" si="200"/>
        <v>29.042918273100874</v>
      </c>
      <c r="EK81" s="19">
        <f t="shared" si="201"/>
        <v>8.0392323009786892</v>
      </c>
      <c r="EL81" s="19">
        <f t="shared" si="202"/>
        <v>0.96386052620429596</v>
      </c>
      <c r="EM81" s="19">
        <f t="shared" si="203"/>
        <v>1.1756980044909546</v>
      </c>
      <c r="EN81" s="19">
        <f t="shared" si="204"/>
        <v>0.31775621742998772</v>
      </c>
      <c r="EO81" s="19">
        <f t="shared" si="205"/>
        <v>100</v>
      </c>
    </row>
    <row r="82" spans="1:146" s="18" customFormat="1" ht="14.5" customHeight="1">
      <c r="A82" s="1" t="s">
        <v>231</v>
      </c>
      <c r="B82" s="1">
        <v>3</v>
      </c>
      <c r="C82" s="11" t="s">
        <v>238</v>
      </c>
      <c r="D82" s="1" t="s">
        <v>239</v>
      </c>
      <c r="E82" s="12" t="s">
        <v>22</v>
      </c>
      <c r="F82" s="13"/>
      <c r="G82" s="15">
        <v>33.01</v>
      </c>
      <c r="H82" s="15">
        <v>6.18</v>
      </c>
      <c r="I82" s="15">
        <v>5.97</v>
      </c>
      <c r="J82" s="15">
        <f>5.72+1.11*6.28</f>
        <v>12.690799999999999</v>
      </c>
      <c r="K82" s="15">
        <v>0.17</v>
      </c>
      <c r="L82" s="15">
        <v>15.66</v>
      </c>
      <c r="M82" s="15">
        <v>7.24</v>
      </c>
      <c r="N82" s="15">
        <v>3.35</v>
      </c>
      <c r="O82" s="15">
        <v>3.52</v>
      </c>
      <c r="P82" s="15">
        <v>0.6</v>
      </c>
      <c r="Q82" s="15"/>
      <c r="R82" s="15"/>
      <c r="S82" s="15">
        <f t="shared" si="173"/>
        <v>88.39079999999997</v>
      </c>
      <c r="T82" s="16"/>
      <c r="U82" s="17">
        <v>0.70547000000000004</v>
      </c>
      <c r="V82" s="17">
        <v>0.51218799999999998</v>
      </c>
      <c r="W82" s="18">
        <v>17.98</v>
      </c>
      <c r="X82" s="18">
        <v>15.48</v>
      </c>
      <c r="Y82" s="18">
        <v>38.46</v>
      </c>
      <c r="AF82" s="19">
        <f t="shared" si="174"/>
        <v>0.74198572594526102</v>
      </c>
      <c r="AG82" s="20">
        <f t="shared" si="175"/>
        <v>37049.1</v>
      </c>
      <c r="AH82" s="20">
        <f t="shared" si="176"/>
        <v>29223.040000000001</v>
      </c>
      <c r="AI82" s="20">
        <f t="shared" si="177"/>
        <v>2618.4</v>
      </c>
      <c r="AJ82" s="19">
        <f t="shared" si="178"/>
        <v>6.87</v>
      </c>
      <c r="AK82" s="19">
        <f t="shared" si="179"/>
        <v>1.0507462686567164</v>
      </c>
      <c r="AL82" s="19">
        <f t="shared" si="180"/>
        <v>0.95170454545454553</v>
      </c>
      <c r="AM82" s="19">
        <f t="shared" si="181"/>
        <v>1.2127303182579565</v>
      </c>
      <c r="AN82" s="19">
        <f t="shared" si="182"/>
        <v>0.58961474036850925</v>
      </c>
      <c r="AO82" s="19">
        <f t="shared" si="183"/>
        <v>1.5612859330183411</v>
      </c>
      <c r="AP82" s="19">
        <f t="shared" si="184"/>
        <v>0.64049766852555934</v>
      </c>
      <c r="AQ82" s="19">
        <f t="shared" si="185"/>
        <v>0.26552163036310539</v>
      </c>
      <c r="AR82" s="19">
        <f t="shared" si="186"/>
        <v>1.5612859330183411</v>
      </c>
      <c r="AS82" s="20">
        <f t="shared" si="187"/>
        <v>993.83076154304445</v>
      </c>
      <c r="AT82" s="20">
        <f t="shared" si="188"/>
        <v>1821.8313361138457</v>
      </c>
      <c r="AU82" s="19">
        <f t="shared" si="189"/>
        <v>0.10663435322629507</v>
      </c>
      <c r="AV82" s="19">
        <f t="shared" si="190"/>
        <v>0.63818597588081949</v>
      </c>
      <c r="AX82" s="16">
        <v>128</v>
      </c>
      <c r="AY82" s="16">
        <v>1860</v>
      </c>
      <c r="AZ82" s="16">
        <v>2800</v>
      </c>
      <c r="BA82" s="21"/>
      <c r="BB82" s="16"/>
      <c r="BC82" s="16">
        <v>232</v>
      </c>
      <c r="BD82" s="16">
        <v>571</v>
      </c>
      <c r="BF82" s="16">
        <v>550</v>
      </c>
      <c r="BG82" s="16">
        <v>76</v>
      </c>
      <c r="BH82" s="16">
        <v>140</v>
      </c>
      <c r="BI82" s="16">
        <v>27.7</v>
      </c>
      <c r="BJ82" s="16">
        <v>770</v>
      </c>
      <c r="BK82" s="16">
        <v>173</v>
      </c>
      <c r="BL82" s="21">
        <v>5</v>
      </c>
      <c r="BM82" s="21"/>
      <c r="BN82" s="41">
        <v>140</v>
      </c>
      <c r="BO82" s="41">
        <v>305</v>
      </c>
      <c r="BP82" s="21"/>
      <c r="BQ82" s="41">
        <v>145</v>
      </c>
      <c r="BR82" s="21">
        <v>23.6</v>
      </c>
      <c r="BS82" s="21">
        <v>5.7</v>
      </c>
      <c r="BT82" s="21">
        <v>18.399999999999999</v>
      </c>
      <c r="BU82" s="21"/>
      <c r="BV82" s="21">
        <v>8.1999999999999993</v>
      </c>
      <c r="BW82" s="21">
        <v>1.35</v>
      </c>
      <c r="BX82" s="21">
        <v>2.96</v>
      </c>
      <c r="BY82" s="21"/>
      <c r="BZ82" s="21">
        <v>1.66</v>
      </c>
      <c r="CA82" s="21"/>
      <c r="CB82" s="21"/>
      <c r="CC82" s="21"/>
      <c r="CD82" s="21"/>
      <c r="CE82" s="21"/>
      <c r="CG82" s="22">
        <f t="shared" si="208"/>
        <v>578.51239669421489</v>
      </c>
      <c r="CH82" s="22">
        <f t="shared" si="191"/>
        <v>480.31496062992125</v>
      </c>
      <c r="CI82" s="22"/>
      <c r="CJ82" s="22">
        <f t="shared" si="133"/>
        <v>302.08333333333337</v>
      </c>
      <c r="CK82" s="22">
        <f t="shared" si="134"/>
        <v>151.2820512820513</v>
      </c>
      <c r="CL82" s="22">
        <v>31.059100000000001</v>
      </c>
      <c r="CM82" s="22">
        <f t="shared" si="148"/>
        <v>86.79245283018868</v>
      </c>
      <c r="CN82" s="22"/>
      <c r="CO82" s="22">
        <f t="shared" si="150"/>
        <v>31.660231660231656</v>
      </c>
      <c r="CP82" s="22">
        <f t="shared" si="151"/>
        <v>23.076923076923077</v>
      </c>
      <c r="CQ82" s="22">
        <f t="shared" si="152"/>
        <v>18.159509202453986</v>
      </c>
      <c r="CR82" s="22"/>
      <c r="CS82" s="22">
        <f t="shared" si="154"/>
        <v>9.9999999999999982</v>
      </c>
      <c r="CT82" s="22"/>
      <c r="CU82" s="22">
        <f t="shared" si="135"/>
        <v>16.184971098265898</v>
      </c>
      <c r="CV82" s="22">
        <f t="shared" si="136"/>
        <v>20</v>
      </c>
      <c r="CW82" s="22">
        <f t="shared" si="137"/>
        <v>0.80924855491329484</v>
      </c>
      <c r="CX82" s="20">
        <f t="shared" si="206"/>
        <v>214.15664739884392</v>
      </c>
      <c r="CY82" s="22"/>
      <c r="CZ82" s="22"/>
      <c r="DA82" s="22">
        <f t="shared" si="139"/>
        <v>5.4237288135593218</v>
      </c>
      <c r="DB82" s="22">
        <f t="shared" si="207"/>
        <v>4.4508670520231215</v>
      </c>
      <c r="DC82" s="22"/>
      <c r="DD82" s="22"/>
      <c r="DE82" s="22"/>
      <c r="DF82" s="22"/>
      <c r="DG82" s="19">
        <f>BK82/BI82</f>
        <v>6.2454873646209386</v>
      </c>
      <c r="DH82" s="20">
        <f t="shared" si="140"/>
        <v>208.73600000000002</v>
      </c>
      <c r="DI82" s="19"/>
      <c r="DJ82" s="22"/>
      <c r="DK82" s="22"/>
      <c r="DL82" s="22">
        <f t="shared" si="142"/>
        <v>3.8240649950973524</v>
      </c>
      <c r="DM82" s="22">
        <f t="shared" si="162"/>
        <v>84.337349397590359</v>
      </c>
      <c r="DN82" s="22">
        <f t="shared" si="163"/>
        <v>3.4482758620689655E-2</v>
      </c>
      <c r="DO82" s="22">
        <f t="shared" si="164"/>
        <v>14.216867469879519</v>
      </c>
      <c r="DP82" s="20">
        <f>AY82/BZ82</f>
        <v>1120.4819277108434</v>
      </c>
      <c r="DQ82" s="22">
        <f t="shared" si="166"/>
        <v>12.827586206896552</v>
      </c>
      <c r="DR82" s="22">
        <f t="shared" si="167"/>
        <v>20.059274382738149</v>
      </c>
      <c r="DS82" s="19">
        <f t="shared" si="168"/>
        <v>0.83070229571060339</v>
      </c>
      <c r="DT82" s="23">
        <f t="shared" si="169"/>
        <v>5.3763440860215054E-4</v>
      </c>
      <c r="DU82" s="22">
        <f t="shared" si="193"/>
        <v>27.797833935018051</v>
      </c>
      <c r="DV82" s="22"/>
      <c r="DW82" s="22">
        <f t="shared" si="130"/>
        <v>-0.23693470166307717</v>
      </c>
      <c r="DX82" s="22">
        <f t="shared" si="194"/>
        <v>22.467532467532468</v>
      </c>
      <c r="DY82" s="22"/>
      <c r="DZ82" s="19">
        <f t="shared" si="171"/>
        <v>0.44037084382985237</v>
      </c>
      <c r="EA82" s="23"/>
      <c r="EB82" s="19"/>
      <c r="EC82" s="19"/>
      <c r="ED82" s="19"/>
      <c r="EE82" s="19">
        <f t="shared" si="195"/>
        <v>37.345515596645818</v>
      </c>
      <c r="EF82" s="19">
        <f t="shared" si="196"/>
        <v>6.9916778669273301</v>
      </c>
      <c r="EG82" s="19">
        <f t="shared" si="197"/>
        <v>6.7540965801870803</v>
      </c>
      <c r="EH82" s="19">
        <f t="shared" si="198"/>
        <v>14.357602827443584</v>
      </c>
      <c r="EI82" s="19">
        <f t="shared" si="199"/>
        <v>0.19232770831353496</v>
      </c>
      <c r="EJ82" s="19">
        <f t="shared" si="200"/>
        <v>17.716775954058573</v>
      </c>
      <c r="EK82" s="19">
        <f t="shared" si="201"/>
        <v>8.1908976952352539</v>
      </c>
      <c r="EL82" s="19">
        <f t="shared" si="202"/>
        <v>3.7899871932373066</v>
      </c>
      <c r="EM82" s="19">
        <f t="shared" si="203"/>
        <v>3.9823149015508417</v>
      </c>
      <c r="EN82" s="19">
        <f t="shared" si="204"/>
        <v>0.6788036764007116</v>
      </c>
      <c r="EO82" s="19">
        <f t="shared" si="205"/>
        <v>100.00000000000003</v>
      </c>
    </row>
    <row r="83" spans="1:146" s="18" customFormat="1" ht="14.5" customHeight="1">
      <c r="A83" s="1" t="s">
        <v>231</v>
      </c>
      <c r="B83" s="1">
        <v>3</v>
      </c>
      <c r="C83" s="11" t="s">
        <v>238</v>
      </c>
      <c r="D83" s="1" t="s">
        <v>239</v>
      </c>
      <c r="E83" s="12" t="s">
        <v>22</v>
      </c>
      <c r="F83" s="13"/>
      <c r="G83" s="15">
        <v>33.229999999999997</v>
      </c>
      <c r="H83" s="15">
        <v>4.75</v>
      </c>
      <c r="I83" s="15">
        <v>4.6900000000000004</v>
      </c>
      <c r="J83" s="15">
        <f>5.26+1.11*7.62</f>
        <v>13.718200000000001</v>
      </c>
      <c r="K83" s="15">
        <v>0.18</v>
      </c>
      <c r="L83" s="15">
        <v>21.47</v>
      </c>
      <c r="M83" s="15">
        <v>6.58</v>
      </c>
      <c r="N83" s="15">
        <v>2.78</v>
      </c>
      <c r="O83" s="15">
        <v>2.97</v>
      </c>
      <c r="P83" s="15">
        <v>0.45</v>
      </c>
      <c r="Q83" s="15"/>
      <c r="R83" s="15"/>
      <c r="S83" s="15">
        <f t="shared" si="173"/>
        <v>90.81819999999999</v>
      </c>
      <c r="T83" s="16"/>
      <c r="U83" s="17">
        <v>0.70572999999999997</v>
      </c>
      <c r="V83" s="17">
        <v>0.51223399999999997</v>
      </c>
      <c r="W83" s="18">
        <v>18.45</v>
      </c>
      <c r="X83" s="18">
        <v>15.51</v>
      </c>
      <c r="Y83" s="18">
        <v>38.89</v>
      </c>
      <c r="AF83" s="19">
        <f t="shared" si="174"/>
        <v>0.78482614978904763</v>
      </c>
      <c r="AG83" s="20">
        <f t="shared" si="175"/>
        <v>28476.25</v>
      </c>
      <c r="AH83" s="20">
        <f t="shared" si="176"/>
        <v>24656.940000000002</v>
      </c>
      <c r="AI83" s="20">
        <f t="shared" si="177"/>
        <v>1963.8</v>
      </c>
      <c r="AJ83" s="19">
        <f t="shared" si="178"/>
        <v>5.75</v>
      </c>
      <c r="AK83" s="19">
        <f t="shared" si="179"/>
        <v>1.0683453237410074</v>
      </c>
      <c r="AL83" s="19">
        <f t="shared" si="180"/>
        <v>0.93602693602693587</v>
      </c>
      <c r="AM83" s="19">
        <f t="shared" si="181"/>
        <v>1.4029850746268655</v>
      </c>
      <c r="AN83" s="19">
        <f t="shared" si="182"/>
        <v>0.63326226012793174</v>
      </c>
      <c r="AO83" s="19">
        <f t="shared" si="183"/>
        <v>1.6605314487419305</v>
      </c>
      <c r="AP83" s="19">
        <f t="shared" si="184"/>
        <v>0.60221683892685718</v>
      </c>
      <c r="AQ83" s="19">
        <f t="shared" si="185"/>
        <v>0.23745510269197628</v>
      </c>
      <c r="AR83" s="19">
        <f t="shared" si="186"/>
        <v>1.6605314487419305</v>
      </c>
      <c r="AS83" s="20">
        <f t="shared" si="187"/>
        <v>1190.7630559902896</v>
      </c>
      <c r="AT83" s="20">
        <f t="shared" si="188"/>
        <v>1999.0502008260341</v>
      </c>
      <c r="AU83" s="19">
        <f t="shared" si="189"/>
        <v>8.9377068913632271E-2</v>
      </c>
      <c r="AV83" s="19">
        <f t="shared" si="190"/>
        <v>0.68542908750152776</v>
      </c>
      <c r="AX83" s="16">
        <v>755</v>
      </c>
      <c r="AY83" s="16">
        <v>895</v>
      </c>
      <c r="AZ83" s="16">
        <v>1440</v>
      </c>
      <c r="BA83" s="21"/>
      <c r="BB83" s="16"/>
      <c r="BC83" s="16">
        <v>202</v>
      </c>
      <c r="BD83" s="16">
        <v>1250</v>
      </c>
      <c r="BF83" s="16">
        <v>789</v>
      </c>
      <c r="BG83" s="16">
        <v>81</v>
      </c>
      <c r="BH83" s="16">
        <v>108</v>
      </c>
      <c r="BI83" s="16">
        <v>18.600000000000001</v>
      </c>
      <c r="BJ83" s="16">
        <v>420</v>
      </c>
      <c r="BK83" s="16">
        <v>140</v>
      </c>
      <c r="BL83" s="21">
        <v>8.6</v>
      </c>
      <c r="BM83" s="21"/>
      <c r="BN83" s="41">
        <v>111</v>
      </c>
      <c r="BO83" s="41">
        <v>213</v>
      </c>
      <c r="BP83" s="21"/>
      <c r="BQ83" s="41">
        <v>95</v>
      </c>
      <c r="BR83" s="21">
        <v>16.2</v>
      </c>
      <c r="BS83" s="21">
        <v>3.5</v>
      </c>
      <c r="BT83" s="21">
        <v>13.1</v>
      </c>
      <c r="BU83" s="21"/>
      <c r="BV83" s="21">
        <v>5.8</v>
      </c>
      <c r="BW83" s="21">
        <v>1.4</v>
      </c>
      <c r="BX83" s="21">
        <v>2.67</v>
      </c>
      <c r="BY83" s="21"/>
      <c r="BZ83" s="21">
        <v>1.5</v>
      </c>
      <c r="CA83" s="21"/>
      <c r="CB83" s="21"/>
      <c r="CC83" s="21"/>
      <c r="CD83" s="21"/>
      <c r="CE83" s="21"/>
      <c r="CG83" s="22">
        <f t="shared" si="208"/>
        <v>458.67768595041326</v>
      </c>
      <c r="CH83" s="22">
        <f t="shared" si="191"/>
        <v>335.43307086614175</v>
      </c>
      <c r="CI83" s="22"/>
      <c r="CJ83" s="22">
        <f t="shared" si="133"/>
        <v>197.91666666666669</v>
      </c>
      <c r="CK83" s="22">
        <f t="shared" si="134"/>
        <v>103.84615384615384</v>
      </c>
      <c r="CL83" s="22">
        <v>32.059100000000001</v>
      </c>
      <c r="CM83" s="22">
        <f t="shared" si="148"/>
        <v>61.79245283018868</v>
      </c>
      <c r="CN83" s="22"/>
      <c r="CO83" s="22">
        <f t="shared" si="150"/>
        <v>22.393822393822393</v>
      </c>
      <c r="CP83" s="22">
        <f t="shared" si="151"/>
        <v>23.931623931623928</v>
      </c>
      <c r="CQ83" s="22">
        <f t="shared" si="152"/>
        <v>16.380368098159508</v>
      </c>
      <c r="CR83" s="22"/>
      <c r="CS83" s="22">
        <f t="shared" si="154"/>
        <v>9.0361445783132517</v>
      </c>
      <c r="CT83" s="22"/>
      <c r="CU83" s="22">
        <f t="shared" si="135"/>
        <v>10.285714285714286</v>
      </c>
      <c r="CV83" s="22">
        <f t="shared" si="136"/>
        <v>12.972972972972974</v>
      </c>
      <c r="CW83" s="22">
        <f t="shared" si="137"/>
        <v>0.79285714285714282</v>
      </c>
      <c r="CX83" s="20">
        <f t="shared" si="206"/>
        <v>203.40178571428572</v>
      </c>
      <c r="CY83" s="22"/>
      <c r="CZ83" s="22"/>
      <c r="DA83" s="22">
        <f t="shared" si="139"/>
        <v>46.604938271604944</v>
      </c>
      <c r="DB83" s="22">
        <f t="shared" si="207"/>
        <v>3</v>
      </c>
      <c r="DC83" s="22"/>
      <c r="DD83" s="22"/>
      <c r="DE83" s="22"/>
      <c r="DF83" s="22"/>
      <c r="DG83" s="19">
        <f>BK83/BI83</f>
        <v>7.5268817204301071</v>
      </c>
      <c r="DH83" s="20">
        <f t="shared" si="140"/>
        <v>222.1345945945946</v>
      </c>
      <c r="DI83" s="19"/>
      <c r="DJ83" s="22"/>
      <c r="DK83" s="22"/>
      <c r="DL83" s="22">
        <f t="shared" si="142"/>
        <v>4.4168962350780543</v>
      </c>
      <c r="DM83" s="22">
        <f t="shared" si="162"/>
        <v>74</v>
      </c>
      <c r="DN83" s="22">
        <f t="shared" si="163"/>
        <v>9.0526315789473677E-2</v>
      </c>
      <c r="DO83" s="22">
        <f t="shared" si="164"/>
        <v>10.799999999999999</v>
      </c>
      <c r="DP83" s="20">
        <f>AY83/BZ83</f>
        <v>596.66666666666663</v>
      </c>
      <c r="DQ83" s="22">
        <f t="shared" si="166"/>
        <v>9.4210526315789469</v>
      </c>
      <c r="DR83" s="22">
        <f t="shared" si="167"/>
        <v>13.806928248902508</v>
      </c>
      <c r="DS83" s="19">
        <f t="shared" si="168"/>
        <v>0.7296428940232339</v>
      </c>
      <c r="DT83" s="23">
        <f t="shared" si="169"/>
        <v>1.1173184357541898E-3</v>
      </c>
      <c r="DU83" s="22">
        <f t="shared" si="193"/>
        <v>22.58064516129032</v>
      </c>
      <c r="DV83" s="22"/>
      <c r="DW83" s="22">
        <f t="shared" si="130"/>
        <v>1.7441306794752087E-2</v>
      </c>
      <c r="DX83" s="22">
        <f t="shared" si="194"/>
        <v>33.333333333333336</v>
      </c>
      <c r="DY83" s="22"/>
      <c r="DZ83" s="19">
        <f t="shared" si="171"/>
        <v>0.80952444634033383</v>
      </c>
      <c r="EA83" s="23"/>
      <c r="EB83" s="19"/>
      <c r="EC83" s="19"/>
      <c r="ED83" s="19"/>
      <c r="EE83" s="19">
        <f t="shared" si="195"/>
        <v>36.589582264347897</v>
      </c>
      <c r="EF83" s="19">
        <f t="shared" si="196"/>
        <v>5.2302291831373013</v>
      </c>
      <c r="EG83" s="19">
        <f t="shared" si="197"/>
        <v>5.1641631302976725</v>
      </c>
      <c r="EH83" s="19">
        <f t="shared" si="198"/>
        <v>15.10512210107666</v>
      </c>
      <c r="EI83" s="19">
        <f t="shared" si="199"/>
        <v>0.1981981585188872</v>
      </c>
      <c r="EJ83" s="19">
        <f t="shared" si="200"/>
        <v>23.640635907780602</v>
      </c>
      <c r="EK83" s="19">
        <f t="shared" si="201"/>
        <v>7.2452437947459876</v>
      </c>
      <c r="EL83" s="19">
        <f t="shared" si="202"/>
        <v>3.0610604482361468</v>
      </c>
      <c r="EM83" s="19">
        <f t="shared" si="203"/>
        <v>3.2702696155616389</v>
      </c>
      <c r="EN83" s="19">
        <f t="shared" si="204"/>
        <v>0.495495396297218</v>
      </c>
      <c r="EO83" s="19">
        <f t="shared" si="205"/>
        <v>100.00000000000001</v>
      </c>
    </row>
    <row r="84" spans="1:146" s="18" customFormat="1" ht="14.5" customHeight="1">
      <c r="A84" s="1" t="s">
        <v>231</v>
      </c>
      <c r="B84" s="1">
        <v>3</v>
      </c>
      <c r="C84" s="11" t="s">
        <v>238</v>
      </c>
      <c r="D84" s="1" t="s">
        <v>237</v>
      </c>
      <c r="E84" s="12" t="s">
        <v>0</v>
      </c>
      <c r="F84" s="13"/>
      <c r="G84" s="14">
        <v>39.5</v>
      </c>
      <c r="H84" s="14">
        <v>5.9</v>
      </c>
      <c r="I84" s="14">
        <v>7.1</v>
      </c>
      <c r="J84" s="14">
        <v>13.379999999999999</v>
      </c>
      <c r="K84" s="14">
        <v>0.23</v>
      </c>
      <c r="L84" s="14">
        <v>7.8</v>
      </c>
      <c r="M84" s="14">
        <v>14.9</v>
      </c>
      <c r="N84" s="14">
        <v>1.1000000000000001</v>
      </c>
      <c r="O84" s="14">
        <v>3</v>
      </c>
      <c r="P84" s="14">
        <v>1.3</v>
      </c>
      <c r="Q84" s="14">
        <v>5.4</v>
      </c>
      <c r="R84" s="15"/>
      <c r="S84" s="15">
        <f t="shared" si="173"/>
        <v>94.21</v>
      </c>
      <c r="T84" s="16"/>
      <c r="U84" s="17"/>
      <c r="V84" s="17"/>
      <c r="AF84" s="19">
        <f t="shared" si="174"/>
        <v>0.576017388899001</v>
      </c>
      <c r="AG84" s="20">
        <f t="shared" si="175"/>
        <v>35370.5</v>
      </c>
      <c r="AH84" s="20">
        <f t="shared" si="176"/>
        <v>24906</v>
      </c>
      <c r="AI84" s="20">
        <f t="shared" si="177"/>
        <v>5673.2</v>
      </c>
      <c r="AJ84" s="19">
        <f t="shared" si="178"/>
        <v>4.0999999999999996</v>
      </c>
      <c r="AK84" s="19">
        <f t="shared" si="179"/>
        <v>2.7272727272727271</v>
      </c>
      <c r="AL84" s="19">
        <f t="shared" si="180"/>
        <v>0.3666666666666667</v>
      </c>
      <c r="AM84" s="19">
        <f t="shared" si="181"/>
        <v>2.0985915492957745</v>
      </c>
      <c r="AN84" s="19">
        <f t="shared" si="182"/>
        <v>0.42253521126760568</v>
      </c>
      <c r="AO84" s="19">
        <f t="shared" si="183"/>
        <v>0.71220918678554046</v>
      </c>
      <c r="AP84" s="19">
        <f t="shared" si="184"/>
        <v>1.4040818604339609</v>
      </c>
      <c r="AQ84" s="19">
        <f t="shared" si="185"/>
        <v>0.22086297709339042</v>
      </c>
      <c r="AR84" s="19">
        <f t="shared" si="186"/>
        <v>0.71220918678554046</v>
      </c>
      <c r="AS84" s="20">
        <f t="shared" si="187"/>
        <v>1877.687513724097</v>
      </c>
      <c r="AT84" s="20">
        <f t="shared" si="188"/>
        <v>2176.9272240597252</v>
      </c>
      <c r="AU84" s="19">
        <f t="shared" si="189"/>
        <v>7.5949367088607597E-2</v>
      </c>
      <c r="AV84" s="19">
        <f t="shared" si="190"/>
        <v>0.4573427828115188</v>
      </c>
      <c r="AX84" s="16"/>
      <c r="AY84" s="16"/>
      <c r="AZ84" s="16">
        <v>2776</v>
      </c>
      <c r="BA84" s="21"/>
      <c r="BB84" s="16"/>
      <c r="BC84" s="16"/>
      <c r="BD84" s="16"/>
      <c r="BF84" s="16"/>
      <c r="BG84" s="16"/>
      <c r="BH84" s="16"/>
      <c r="BI84" s="16"/>
      <c r="BJ84" s="16"/>
      <c r="BK84" s="16"/>
      <c r="BL84" s="21"/>
      <c r="BM84" s="21"/>
      <c r="BN84" s="41"/>
      <c r="BO84" s="41"/>
      <c r="BP84" s="21"/>
      <c r="BQ84" s="41"/>
      <c r="BR84" s="21"/>
      <c r="BS84" s="21"/>
      <c r="BT84" s="21"/>
      <c r="BU84" s="21"/>
      <c r="BV84" s="21"/>
      <c r="BW84" s="21"/>
      <c r="BX84" s="21"/>
      <c r="BY84" s="21"/>
      <c r="BZ84" s="21"/>
      <c r="CA84" s="21"/>
      <c r="CB84" s="21"/>
      <c r="CC84" s="21"/>
      <c r="CD84" s="21"/>
      <c r="CE84" s="21"/>
      <c r="CG84" s="22"/>
      <c r="CH84" s="22"/>
      <c r="CI84" s="22"/>
      <c r="CJ84" s="22"/>
      <c r="CK84" s="22"/>
      <c r="CL84" s="22"/>
      <c r="CM84" s="22"/>
      <c r="CN84" s="22"/>
      <c r="CO84" s="22"/>
      <c r="CP84" s="22"/>
      <c r="CQ84" s="22"/>
      <c r="CR84" s="22"/>
      <c r="CS84" s="22"/>
      <c r="CT84" s="22"/>
      <c r="CU84" s="22"/>
      <c r="CV84" s="22"/>
      <c r="CW84" s="22"/>
      <c r="CX84" s="20"/>
      <c r="CY84" s="22"/>
      <c r="CZ84" s="22"/>
      <c r="DA84" s="22"/>
      <c r="DB84" s="22"/>
      <c r="DC84" s="22"/>
      <c r="DD84" s="22"/>
      <c r="DE84" s="22"/>
      <c r="DF84" s="22"/>
      <c r="DG84" s="19"/>
      <c r="DH84" s="20"/>
      <c r="DI84" s="19"/>
      <c r="DJ84" s="22"/>
      <c r="DK84" s="22"/>
      <c r="DL84" s="22"/>
      <c r="DM84" s="22"/>
      <c r="DN84" s="22"/>
      <c r="DO84" s="22"/>
      <c r="DP84" s="20"/>
      <c r="DQ84" s="22"/>
      <c r="DR84" s="22"/>
      <c r="DS84" s="19"/>
      <c r="DT84" s="23"/>
      <c r="DU84" s="22"/>
      <c r="DV84" s="22"/>
      <c r="DW84" s="22"/>
      <c r="DX84" s="22"/>
      <c r="DY84" s="22"/>
      <c r="DZ84" s="19"/>
      <c r="EA84" s="23"/>
      <c r="EB84" s="19"/>
      <c r="EC84" s="19"/>
      <c r="ED84" s="19"/>
      <c r="EE84" s="19">
        <f t="shared" si="195"/>
        <v>41.927608534125895</v>
      </c>
      <c r="EF84" s="19">
        <f t="shared" si="196"/>
        <v>6.2626048190213357</v>
      </c>
      <c r="EG84" s="19">
        <f t="shared" si="197"/>
        <v>7.5363549517036414</v>
      </c>
      <c r="EH84" s="19">
        <f t="shared" si="198"/>
        <v>14.202313979407707</v>
      </c>
      <c r="EI84" s="19">
        <f t="shared" si="199"/>
        <v>0.2441354420974419</v>
      </c>
      <c r="EJ84" s="19">
        <f t="shared" si="200"/>
        <v>8.2793758624349856</v>
      </c>
      <c r="EK84" s="19">
        <f t="shared" si="201"/>
        <v>15.815730814138627</v>
      </c>
      <c r="EL84" s="19">
        <f t="shared" si="202"/>
        <v>1.1676042882921136</v>
      </c>
      <c r="EM84" s="19">
        <f t="shared" si="203"/>
        <v>3.1843753317057639</v>
      </c>
      <c r="EN84" s="19">
        <f t="shared" si="204"/>
        <v>1.3798959770724977</v>
      </c>
      <c r="EO84" s="19">
        <f t="shared" si="205"/>
        <v>100.00000000000001</v>
      </c>
    </row>
    <row r="85" spans="1:146" s="30" customFormat="1" ht="14.5" customHeight="1">
      <c r="A85" s="24" t="s">
        <v>231</v>
      </c>
      <c r="B85" s="24">
        <v>3</v>
      </c>
      <c r="C85" s="46" t="s">
        <v>238</v>
      </c>
      <c r="D85" s="24" t="s">
        <v>237</v>
      </c>
      <c r="E85" s="42" t="s">
        <v>0</v>
      </c>
      <c r="F85" s="25"/>
      <c r="G85" s="26">
        <v>41.7</v>
      </c>
      <c r="H85" s="26">
        <v>5.5</v>
      </c>
      <c r="I85" s="26">
        <v>7.7</v>
      </c>
      <c r="J85" s="26">
        <v>12.35</v>
      </c>
      <c r="K85" s="26">
        <v>0.18</v>
      </c>
      <c r="L85" s="26">
        <v>8.8000000000000007</v>
      </c>
      <c r="M85" s="26">
        <v>12.4</v>
      </c>
      <c r="N85" s="26">
        <v>1.5</v>
      </c>
      <c r="O85" s="26">
        <v>1.9</v>
      </c>
      <c r="P85" s="26">
        <v>0.53</v>
      </c>
      <c r="Q85" s="26">
        <v>4.1399999999999997</v>
      </c>
      <c r="R85" s="27"/>
      <c r="S85" s="27">
        <f t="shared" si="173"/>
        <v>92.560000000000016</v>
      </c>
      <c r="T85" s="28"/>
      <c r="U85" s="29"/>
      <c r="V85" s="29"/>
      <c r="AF85" s="19">
        <f t="shared" si="174"/>
        <v>0.62414478967381748</v>
      </c>
      <c r="AG85" s="32">
        <f t="shared" si="175"/>
        <v>32972.5</v>
      </c>
      <c r="AH85" s="32">
        <f t="shared" si="176"/>
        <v>15773.8</v>
      </c>
      <c r="AI85" s="32">
        <f t="shared" si="177"/>
        <v>2312.92</v>
      </c>
      <c r="AJ85" s="31">
        <f t="shared" si="178"/>
        <v>3.4</v>
      </c>
      <c r="AK85" s="31">
        <f t="shared" si="179"/>
        <v>1.2666666666666666</v>
      </c>
      <c r="AL85" s="31">
        <f t="shared" si="180"/>
        <v>0.78947368421052633</v>
      </c>
      <c r="AM85" s="31">
        <f t="shared" si="181"/>
        <v>1.6103896103896105</v>
      </c>
      <c r="AN85" s="31">
        <f t="shared" si="182"/>
        <v>0.24675324675324672</v>
      </c>
      <c r="AO85" s="31">
        <f t="shared" si="183"/>
        <v>0.58754392605706873</v>
      </c>
      <c r="AP85" s="31">
        <f t="shared" si="184"/>
        <v>1.7020004048222754</v>
      </c>
      <c r="AQ85" s="31">
        <f t="shared" si="185"/>
        <v>0.28446098197723463</v>
      </c>
      <c r="AR85" s="31">
        <f t="shared" si="186"/>
        <v>0.58754392605706873</v>
      </c>
      <c r="AS85" s="32">
        <f t="shared" si="187"/>
        <v>2156.2408301487844</v>
      </c>
      <c r="AT85" s="32">
        <f t="shared" si="188"/>
        <v>1986.7335288870352</v>
      </c>
      <c r="AU85" s="31">
        <f t="shared" si="189"/>
        <v>4.5563549160671457E-2</v>
      </c>
      <c r="AV85" s="31">
        <f t="shared" si="190"/>
        <v>0.26708026580638039</v>
      </c>
      <c r="AX85" s="28"/>
      <c r="AY85" s="28"/>
      <c r="AZ85" s="28"/>
      <c r="BA85" s="33"/>
      <c r="BB85" s="28"/>
      <c r="BC85" s="28"/>
      <c r="BD85" s="28"/>
      <c r="BF85" s="28"/>
      <c r="BG85" s="28"/>
      <c r="BH85" s="28"/>
      <c r="BI85" s="28"/>
      <c r="BJ85" s="28"/>
      <c r="BK85" s="28"/>
      <c r="BL85" s="33"/>
      <c r="BM85" s="33"/>
      <c r="BN85" s="47"/>
      <c r="BO85" s="47"/>
      <c r="BP85" s="33"/>
      <c r="BQ85" s="47"/>
      <c r="BR85" s="33"/>
      <c r="BS85" s="33"/>
      <c r="BT85" s="33"/>
      <c r="BU85" s="33"/>
      <c r="BV85" s="33"/>
      <c r="BW85" s="33"/>
      <c r="BX85" s="33"/>
      <c r="BY85" s="33"/>
      <c r="BZ85" s="33"/>
      <c r="CA85" s="33"/>
      <c r="CB85" s="33"/>
      <c r="CC85" s="33"/>
      <c r="CD85" s="33"/>
      <c r="CE85" s="33"/>
      <c r="CG85" s="34"/>
      <c r="CH85" s="34"/>
      <c r="CI85" s="34"/>
      <c r="CJ85" s="34"/>
      <c r="CK85" s="34"/>
      <c r="CL85" s="34"/>
      <c r="CM85" s="34"/>
      <c r="CN85" s="34"/>
      <c r="CO85" s="34"/>
      <c r="CP85" s="34"/>
      <c r="CQ85" s="34"/>
      <c r="CR85" s="34"/>
      <c r="CS85" s="34"/>
      <c r="CT85" s="34"/>
      <c r="CU85" s="34"/>
      <c r="CV85" s="34"/>
      <c r="CW85" s="34"/>
      <c r="CX85" s="32"/>
      <c r="CY85" s="34"/>
      <c r="CZ85" s="34"/>
      <c r="DA85" s="34"/>
      <c r="DB85" s="34"/>
      <c r="DC85" s="34"/>
      <c r="DD85" s="34"/>
      <c r="DE85" s="34"/>
      <c r="DF85" s="34"/>
      <c r="DG85" s="31"/>
      <c r="DH85" s="32"/>
      <c r="DI85" s="31"/>
      <c r="DJ85" s="34"/>
      <c r="DK85" s="34"/>
      <c r="DL85" s="34"/>
      <c r="DM85" s="34"/>
      <c r="DN85" s="34"/>
      <c r="DO85" s="34"/>
      <c r="DP85" s="32"/>
      <c r="DQ85" s="34"/>
      <c r="DR85" s="34"/>
      <c r="DS85" s="31"/>
      <c r="DT85" s="35"/>
      <c r="DU85" s="34"/>
      <c r="DV85" s="34"/>
      <c r="DW85" s="34"/>
      <c r="DX85" s="34"/>
      <c r="DY85" s="34"/>
      <c r="DZ85" s="31"/>
      <c r="EA85" s="35"/>
      <c r="EB85" s="31"/>
      <c r="EC85" s="31"/>
      <c r="ED85" s="31"/>
      <c r="EE85" s="31">
        <f t="shared" si="195"/>
        <v>45.05185825410544</v>
      </c>
      <c r="EF85" s="31">
        <f t="shared" si="196"/>
        <v>5.9420916162489181</v>
      </c>
      <c r="EG85" s="31">
        <f t="shared" si="197"/>
        <v>8.3189282627484857</v>
      </c>
      <c r="EH85" s="31">
        <f t="shared" si="198"/>
        <v>13.342696629213481</v>
      </c>
      <c r="EI85" s="31">
        <f t="shared" si="199"/>
        <v>0.19446845289541914</v>
      </c>
      <c r="EJ85" s="31">
        <f t="shared" si="200"/>
        <v>9.5073465859982704</v>
      </c>
      <c r="EK85" s="31">
        <f t="shared" si="201"/>
        <v>13.396715643906653</v>
      </c>
      <c r="EL85" s="31">
        <f t="shared" si="202"/>
        <v>1.6205704407951596</v>
      </c>
      <c r="EM85" s="31">
        <f t="shared" si="203"/>
        <v>2.0527225583405353</v>
      </c>
      <c r="EN85" s="31">
        <f t="shared" si="204"/>
        <v>0.57260155574762306</v>
      </c>
      <c r="EO85" s="31">
        <f t="shared" si="205"/>
        <v>99.999999999999986</v>
      </c>
    </row>
    <row r="86" spans="1:146" s="57" customFormat="1" ht="14.5" customHeight="1">
      <c r="A86" s="48" t="s">
        <v>231</v>
      </c>
      <c r="B86" s="48">
        <v>8</v>
      </c>
      <c r="C86" s="49" t="s">
        <v>236</v>
      </c>
      <c r="D86" s="48" t="s">
        <v>327</v>
      </c>
      <c r="E86" s="49" t="s">
        <v>63</v>
      </c>
      <c r="F86" s="50" t="s">
        <v>229</v>
      </c>
      <c r="G86" s="51">
        <v>38.074487483406038</v>
      </c>
      <c r="H86" s="51">
        <v>5.1182283396089829</v>
      </c>
      <c r="I86" s="51">
        <v>6.5771766931000002</v>
      </c>
      <c r="J86" s="51">
        <v>11.451547674416009</v>
      </c>
      <c r="K86" s="51">
        <v>0.20164431673052363</v>
      </c>
      <c r="L86" s="51">
        <v>13.5113515835</v>
      </c>
      <c r="M86" s="51">
        <v>12.874906030362501</v>
      </c>
      <c r="N86" s="51">
        <v>1.1714285714285715</v>
      </c>
      <c r="O86" s="51">
        <v>2.8960387446500002</v>
      </c>
      <c r="P86" s="51">
        <v>0.86569948186528511</v>
      </c>
      <c r="Q86" s="51">
        <v>5.09</v>
      </c>
      <c r="R86" s="51"/>
      <c r="S86" s="52">
        <f t="shared" si="173"/>
        <v>92.742508919067916</v>
      </c>
      <c r="T86" s="53"/>
      <c r="U86" s="54">
        <v>0.70550921205300599</v>
      </c>
      <c r="V86" s="55">
        <v>0.51225163556630537</v>
      </c>
      <c r="W86" s="56">
        <v>19.89184241777166</v>
      </c>
      <c r="X86" s="56">
        <v>15.510363858335127</v>
      </c>
      <c r="Y86" s="56">
        <v>42.208224648341528</v>
      </c>
      <c r="Z86" s="52"/>
      <c r="AA86" s="52"/>
      <c r="AF86" s="58">
        <f t="shared" si="174"/>
        <v>0.73331125785638074</v>
      </c>
      <c r="AG86" s="59">
        <f t="shared" si="175"/>
        <v>30683.778895955853</v>
      </c>
      <c r="AH86" s="59">
        <f t="shared" si="176"/>
        <v>24042.913658084301</v>
      </c>
      <c r="AI86" s="59">
        <f t="shared" si="177"/>
        <v>3777.9125388601042</v>
      </c>
      <c r="AJ86" s="51">
        <f t="shared" si="178"/>
        <v>4.0674673160785719</v>
      </c>
      <c r="AK86" s="51">
        <f t="shared" si="179"/>
        <v>2.4722281966524391</v>
      </c>
      <c r="AL86" s="51">
        <f t="shared" si="180"/>
        <v>0.40449340451422172</v>
      </c>
      <c r="AM86" s="51">
        <f t="shared" si="181"/>
        <v>1.9575125667323696</v>
      </c>
      <c r="AN86" s="51">
        <f t="shared" si="182"/>
        <v>0.44031639710822779</v>
      </c>
      <c r="AO86" s="58">
        <f t="shared" si="183"/>
        <v>0.76957993333578345</v>
      </c>
      <c r="AP86" s="58">
        <f t="shared" si="184"/>
        <v>1.2994101803895133</v>
      </c>
      <c r="AQ86" s="58">
        <f t="shared" si="185"/>
        <v>0.23102335141839267</v>
      </c>
      <c r="AR86" s="51">
        <f t="shared" si="186"/>
        <v>0.76957993333578345</v>
      </c>
      <c r="AS86" s="59">
        <f t="shared" si="187"/>
        <v>1851.6355698222403</v>
      </c>
      <c r="AT86" s="59">
        <f t="shared" si="188"/>
        <v>2277.8468752566287</v>
      </c>
      <c r="AU86" s="58">
        <f t="shared" si="189"/>
        <v>7.6062448533606067E-2</v>
      </c>
      <c r="AV86" s="58">
        <f t="shared" si="190"/>
        <v>0.47658874574474419</v>
      </c>
      <c r="AX86" s="59">
        <v>121</v>
      </c>
      <c r="AY86" s="59">
        <v>1677.3358452508312</v>
      </c>
      <c r="AZ86" s="59">
        <v>12382.496572076321</v>
      </c>
      <c r="BA86" s="60">
        <v>5.562125</v>
      </c>
      <c r="BB86" s="59">
        <v>26.452264845989998</v>
      </c>
      <c r="BC86" s="59">
        <v>356.82248270973145</v>
      </c>
      <c r="BD86" s="59">
        <v>548.48066066736317</v>
      </c>
      <c r="BF86" s="59">
        <v>324.93805695396713</v>
      </c>
      <c r="BG86" s="59">
        <v>130.37708106182112</v>
      </c>
      <c r="BH86" s="59">
        <v>91.154021415467241</v>
      </c>
      <c r="BI86" s="59">
        <v>23.443276802913513</v>
      </c>
      <c r="BJ86" s="59">
        <v>463.52238136307125</v>
      </c>
      <c r="BK86" s="59">
        <v>187.72161262575864</v>
      </c>
      <c r="BL86" s="60">
        <v>14.209038</v>
      </c>
      <c r="BM86" s="60">
        <v>16.49389</v>
      </c>
      <c r="BN86" s="59">
        <v>303.48250200000001</v>
      </c>
      <c r="BO86" s="59">
        <v>646.10826299999997</v>
      </c>
      <c r="BP86" s="60">
        <v>54.408240779999993</v>
      </c>
      <c r="BQ86" s="59">
        <v>178.21567378215002</v>
      </c>
      <c r="BR86" s="60">
        <v>31.731445999999998</v>
      </c>
      <c r="BS86" s="60">
        <v>8.185276</v>
      </c>
      <c r="BT86" s="60">
        <v>18.121869</v>
      </c>
      <c r="BU86" s="60">
        <v>2.0554589999999999</v>
      </c>
      <c r="BV86" s="60">
        <v>8.3056479999999997</v>
      </c>
      <c r="BW86" s="60">
        <v>1.14156064</v>
      </c>
      <c r="BX86" s="60">
        <v>2.7480009999999999</v>
      </c>
      <c r="BY86" s="60">
        <v>0.33869478745199999</v>
      </c>
      <c r="BZ86" s="60">
        <v>1.8160653600000003</v>
      </c>
      <c r="CA86" s="60">
        <v>0.180116</v>
      </c>
      <c r="CB86" s="60">
        <v>9.2134800000000006</v>
      </c>
      <c r="CC86" s="60">
        <v>28.110598</v>
      </c>
      <c r="CD86" s="60">
        <v>5.1390229999999999</v>
      </c>
      <c r="CE86" s="60">
        <v>14.845744</v>
      </c>
      <c r="CF86" s="53"/>
      <c r="CG86" s="61"/>
      <c r="CH86" s="61"/>
      <c r="CI86" s="61">
        <f>BP86/0.0963</f>
        <v>564.98692398753883</v>
      </c>
      <c r="CJ86" s="61">
        <f>BQ86/0.48</f>
        <v>371.28265371281253</v>
      </c>
      <c r="CK86" s="61">
        <f>BR86/0.156</f>
        <v>203.40670512820512</v>
      </c>
      <c r="CL86" s="61">
        <v>51.059100000000001</v>
      </c>
      <c r="CM86" s="61">
        <f>BT86/0.212</f>
        <v>85.480514150943407</v>
      </c>
      <c r="CN86" s="61">
        <f>BU86/0.0376</f>
        <v>54.666462765957441</v>
      </c>
      <c r="CO86" s="61">
        <f>BV86/0.259</f>
        <v>32.068138996138991</v>
      </c>
      <c r="CP86" s="61">
        <f>BW86/0.0585</f>
        <v>19.513857094017094</v>
      </c>
      <c r="CQ86" s="61">
        <f>BX86/0.163</f>
        <v>16.858901840490795</v>
      </c>
      <c r="CR86" s="61">
        <f>BY86/0.0256</f>
        <v>13.23026513484375</v>
      </c>
      <c r="CS86" s="61">
        <f>BZ86/0.166</f>
        <v>10.940152771084339</v>
      </c>
      <c r="CT86" s="61">
        <f>CA86/0.025</f>
        <v>7.2046399999999995</v>
      </c>
      <c r="CU86" s="60">
        <f t="shared" ref="CU86:CU91" si="209">AZ86/BK86</f>
        <v>65.962018964550651</v>
      </c>
      <c r="CV86" s="60">
        <f>AZ86/BN86</f>
        <v>40.801352600145364</v>
      </c>
      <c r="CW86" s="60">
        <f>BN86/BK86</f>
        <v>1.6166625555525245</v>
      </c>
      <c r="CX86" s="59">
        <f t="shared" ref="CX86:CX91" si="210">AG86/BK86</f>
        <v>163.45362937578722</v>
      </c>
      <c r="CY86" s="60">
        <f>BO86/CB86</f>
        <v>70.126408588285855</v>
      </c>
      <c r="CZ86" s="60">
        <f>BK86/CD86</f>
        <v>36.528657806310392</v>
      </c>
      <c r="DA86" s="60">
        <f>AX86/BR86</f>
        <v>3.8132520024457759</v>
      </c>
      <c r="DB86" s="60">
        <f t="shared" ref="DB86:DB91" si="211">BJ86/BK86</f>
        <v>2.4692009347221431</v>
      </c>
      <c r="DC86" s="61">
        <f>AZ86/CC86</f>
        <v>440.49210806815</v>
      </c>
      <c r="DD86" s="60">
        <f>CC86/BM86</f>
        <v>1.7043037148907867</v>
      </c>
      <c r="DE86" s="60">
        <f>BM86/BZ86</f>
        <v>9.0822116666549917</v>
      </c>
      <c r="DF86" s="60">
        <f>CC86/BZ86</f>
        <v>15.478847082904547</v>
      </c>
      <c r="DG86" s="51">
        <f t="shared" ref="DG86:DG91" si="212">BK86/BI86</f>
        <v>8.0074818125437464</v>
      </c>
      <c r="DH86" s="59">
        <f>AH86/BN86</f>
        <v>79.223393439943038</v>
      </c>
      <c r="DI86" s="51">
        <f>(BK86/0.46)/((O86/0.023)*(CD86/0.017))^0.5</f>
        <v>2.091714267883646</v>
      </c>
      <c r="DJ86" s="60">
        <f>BN86/CA86</f>
        <v>1684.9280574740724</v>
      </c>
      <c r="DK86" s="60">
        <f>CG86/CT86</f>
        <v>0</v>
      </c>
      <c r="DL86" s="61">
        <f>CG86/CK86</f>
        <v>0</v>
      </c>
      <c r="DM86" s="60">
        <f>BN86/BZ86</f>
        <v>167.10990071414608</v>
      </c>
      <c r="DN86" s="61">
        <f>BL86/BQ86</f>
        <v>7.9729451952520514E-2</v>
      </c>
      <c r="DO86" s="61">
        <f>BR86/BZ86</f>
        <v>17.472634354966164</v>
      </c>
      <c r="DP86" s="59">
        <f>AY86/BZ86</f>
        <v>923.60984477498698</v>
      </c>
      <c r="DQ86" s="60">
        <f>AY86/BQ86</f>
        <v>9.4118312360179868</v>
      </c>
      <c r="DR86" s="60">
        <f>AY86/(((BR86/0.195)*(BT86/0.259))^0.5)</f>
        <v>15.719574664129631</v>
      </c>
      <c r="DS86" s="51">
        <f>(BS86/0.074)/(((BR86/0.195)*(BT86/0.259))^0.5)</f>
        <v>1.0366266532439559</v>
      </c>
      <c r="DT86" s="62">
        <f t="shared" ref="DT86:DT91" si="213">1/AY86</f>
        <v>5.9618352688960662E-4</v>
      </c>
      <c r="DU86" s="60">
        <f t="shared" ref="DU86:DU91" si="214">BJ86/BI86</f>
        <v>19.772081576303574</v>
      </c>
      <c r="DV86" s="60">
        <f>BK86/BM86</f>
        <v>11.381281955060851</v>
      </c>
      <c r="DW86" s="60">
        <f>1.74+LOG(BK86/BI86)-1.92*LOG(BJ86/BI86)</f>
        <v>0.1550753651722796</v>
      </c>
      <c r="DX86" s="60">
        <f t="shared" ref="DX86:DX91" si="215">BK86*100/BJ86</f>
        <v>40.498931696400369</v>
      </c>
      <c r="DY86" s="60">
        <f>CC86*100/BJ86</f>
        <v>6.0645610935410952</v>
      </c>
      <c r="DZ86" s="51">
        <f t="shared" ref="DZ86:DZ91" si="216">EK86*100/AY86</f>
        <v>0.82764710325575741</v>
      </c>
      <c r="EA86" s="63">
        <f>BA86/BN86</f>
        <v>1.8327662924039027E-2</v>
      </c>
      <c r="EB86" s="58">
        <f t="shared" ref="EB86:EB91" si="217">CC86/BK86</f>
        <v>0.14974619920851212</v>
      </c>
      <c r="EC86" s="58" t="e">
        <f>(CB86/0.144)/(CH86*CI86)^(1/2)</f>
        <v>#DIV/0!</v>
      </c>
      <c r="ED86" s="51"/>
      <c r="EE86" s="51">
        <f t="shared" si="195"/>
        <v>41.053976140145053</v>
      </c>
      <c r="EF86" s="51">
        <f t="shared" si="196"/>
        <v>5.5187512169585826</v>
      </c>
      <c r="EG86" s="51">
        <f t="shared" si="197"/>
        <v>7.09186841046062</v>
      </c>
      <c r="EH86" s="51">
        <f t="shared" si="198"/>
        <v>12.347679406009215</v>
      </c>
      <c r="EI86" s="51">
        <f t="shared" si="199"/>
        <v>0.21742383194149867</v>
      </c>
      <c r="EJ86" s="51">
        <f t="shared" si="200"/>
        <v>14.568671627474226</v>
      </c>
      <c r="EK86" s="51">
        <f t="shared" si="201"/>
        <v>13.882421535088978</v>
      </c>
      <c r="EL86" s="51">
        <f t="shared" si="202"/>
        <v>1.263097780167693</v>
      </c>
      <c r="EM86" s="51">
        <f t="shared" si="203"/>
        <v>3.1226659472596747</v>
      </c>
      <c r="EN86" s="51">
        <f t="shared" si="204"/>
        <v>0.93344410449445658</v>
      </c>
      <c r="EO86" s="51">
        <f t="shared" si="205"/>
        <v>100.00000000000001</v>
      </c>
    </row>
    <row r="87" spans="1:146" s="57" customFormat="1" ht="16">
      <c r="A87" s="48" t="s">
        <v>231</v>
      </c>
      <c r="B87" s="48">
        <v>8</v>
      </c>
      <c r="C87" s="49" t="s">
        <v>235</v>
      </c>
      <c r="D87" s="48" t="s">
        <v>327</v>
      </c>
      <c r="E87" s="49" t="s">
        <v>63</v>
      </c>
      <c r="F87" s="50" t="s">
        <v>229</v>
      </c>
      <c r="G87" s="51">
        <v>40.507802958467671</v>
      </c>
      <c r="H87" s="51">
        <v>3.691147151043356</v>
      </c>
      <c r="I87" s="51">
        <v>6.4265742144999987</v>
      </c>
      <c r="J87" s="51">
        <v>12.751888954096332</v>
      </c>
      <c r="K87" s="51">
        <v>0.20861457002979991</v>
      </c>
      <c r="L87" s="51">
        <v>14.718670157</v>
      </c>
      <c r="M87" s="51">
        <v>10.337136168237501</v>
      </c>
      <c r="N87" s="51">
        <v>2.7428571428571433</v>
      </c>
      <c r="O87" s="51">
        <v>1.2585076381999998</v>
      </c>
      <c r="P87" s="51">
        <v>1.2724352331606217</v>
      </c>
      <c r="Q87" s="51">
        <v>4.99</v>
      </c>
      <c r="R87" s="51"/>
      <c r="S87" s="52">
        <f t="shared" si="173"/>
        <v>93.915634187592431</v>
      </c>
      <c r="T87" s="53"/>
      <c r="U87" s="64">
        <v>0.70547662164129266</v>
      </c>
      <c r="V87" s="65">
        <v>0.51213440870783733</v>
      </c>
      <c r="W87" s="56">
        <v>17.588000273164553</v>
      </c>
      <c r="X87" s="56">
        <v>15.388790065680707</v>
      </c>
      <c r="Y87" s="56">
        <v>38.898125550258733</v>
      </c>
      <c r="Z87" s="52"/>
      <c r="AA87" s="52"/>
      <c r="AF87" s="58">
        <f t="shared" si="174"/>
        <v>0.72899311878162043</v>
      </c>
      <c r="AG87" s="59">
        <f t="shared" si="175"/>
        <v>22128.427170504918</v>
      </c>
      <c r="AH87" s="59">
        <f t="shared" si="176"/>
        <v>10448.130412336399</v>
      </c>
      <c r="AI87" s="59">
        <f t="shared" si="177"/>
        <v>5552.9073575129532</v>
      </c>
      <c r="AJ87" s="51">
        <f t="shared" si="178"/>
        <v>4.0013647810571431</v>
      </c>
      <c r="AK87" s="51">
        <f t="shared" si="179"/>
        <v>0.45883090976041652</v>
      </c>
      <c r="AL87" s="51">
        <f t="shared" si="180"/>
        <v>2.1794521221819183</v>
      </c>
      <c r="AM87" s="51">
        <f t="shared" si="181"/>
        <v>1.6084986842467752</v>
      </c>
      <c r="AN87" s="51">
        <f t="shared" si="182"/>
        <v>0.19582869444819978</v>
      </c>
      <c r="AO87" s="58">
        <f t="shared" si="183"/>
        <v>0.91406541325855017</v>
      </c>
      <c r="AP87" s="58">
        <f t="shared" si="184"/>
        <v>1.0940136072265352</v>
      </c>
      <c r="AQ87" s="58">
        <f t="shared" si="185"/>
        <v>0.26051814821700991</v>
      </c>
      <c r="AR87" s="51">
        <f t="shared" si="186"/>
        <v>0.91406541325855017</v>
      </c>
      <c r="AS87" s="59">
        <f t="shared" si="187"/>
        <v>1928.3636068856845</v>
      </c>
      <c r="AT87" s="59">
        <f t="shared" si="188"/>
        <v>2022.5128696738088</v>
      </c>
      <c r="AU87" s="58">
        <f t="shared" si="189"/>
        <v>3.1068276882119172E-2</v>
      </c>
      <c r="AV87" s="58">
        <f t="shared" si="190"/>
        <v>0.21196065484011095</v>
      </c>
      <c r="AX87" s="59">
        <v>162</v>
      </c>
      <c r="AY87" s="59">
        <v>1590.7386366816768</v>
      </c>
      <c r="AZ87" s="59">
        <v>3849.131784699543</v>
      </c>
      <c r="BA87" s="60">
        <v>33.599286999999997</v>
      </c>
      <c r="BB87" s="59">
        <v>21.373882337398484</v>
      </c>
      <c r="BC87" s="59">
        <v>278.69233370159617</v>
      </c>
      <c r="BD87" s="59">
        <v>951.72691425321148</v>
      </c>
      <c r="BF87" s="59">
        <v>588.26357873078621</v>
      </c>
      <c r="BG87" s="59">
        <v>83.130939841996167</v>
      </c>
      <c r="BH87" s="59">
        <v>105.66870353106211</v>
      </c>
      <c r="BI87" s="59">
        <v>25.875092160730528</v>
      </c>
      <c r="BJ87" s="59">
        <v>434.34428376537647</v>
      </c>
      <c r="BK87" s="59">
        <v>136.53174826225222</v>
      </c>
      <c r="BL87" s="60">
        <v>13.289110000000001</v>
      </c>
      <c r="BM87" s="60">
        <v>8.6397870000000001</v>
      </c>
      <c r="BN87" s="59">
        <v>222.496948</v>
      </c>
      <c r="BO87" s="59">
        <v>463.17299600000001</v>
      </c>
      <c r="BP87" s="60">
        <v>39.771495779999995</v>
      </c>
      <c r="BQ87" s="59">
        <v>135.84751474500001</v>
      </c>
      <c r="BR87" s="60">
        <v>22.761420999999999</v>
      </c>
      <c r="BS87" s="60">
        <v>5.9881719999999996</v>
      </c>
      <c r="BT87" s="60">
        <v>13.960991999999999</v>
      </c>
      <c r="BU87" s="60">
        <v>1.680202</v>
      </c>
      <c r="BV87" s="60">
        <v>7.4477070000000003</v>
      </c>
      <c r="BW87" s="60">
        <v>1.1911443023999999</v>
      </c>
      <c r="BX87" s="60">
        <v>2.8145419999999999</v>
      </c>
      <c r="BY87" s="60">
        <v>0.34581332370000001</v>
      </c>
      <c r="BZ87" s="60">
        <v>1.7756480700000001</v>
      </c>
      <c r="CA87" s="60">
        <v>0.21828700000000001</v>
      </c>
      <c r="CB87" s="60">
        <v>14.02328</v>
      </c>
      <c r="CC87" s="60">
        <v>18.515112999999999</v>
      </c>
      <c r="CD87" s="60">
        <v>3.3536589999999999</v>
      </c>
      <c r="CE87" s="60">
        <v>15.408329</v>
      </c>
      <c r="CF87" s="53"/>
      <c r="CG87" s="61">
        <f>BN87/0.242</f>
        <v>919.40887603305794</v>
      </c>
      <c r="CH87" s="61">
        <f>BO87/0.635</f>
        <v>729.40629291338587</v>
      </c>
      <c r="CI87" s="61">
        <f>BP87/0.0963</f>
        <v>412.99580249221179</v>
      </c>
      <c r="CJ87" s="61">
        <f>BQ87/0.48</f>
        <v>283.01565571875005</v>
      </c>
      <c r="CK87" s="61">
        <f>BR87/0.156</f>
        <v>145.90654487179486</v>
      </c>
      <c r="CL87" s="61">
        <v>52.059100000000001</v>
      </c>
      <c r="CM87" s="61">
        <f>BT87/0.212</f>
        <v>65.853735849056605</v>
      </c>
      <c r="CN87" s="61">
        <f>BU87/0.0376</f>
        <v>44.686223404255315</v>
      </c>
      <c r="CO87" s="61">
        <f>BV87/0.259</f>
        <v>28.755625482625483</v>
      </c>
      <c r="CP87" s="61">
        <f>BW87/0.0585</f>
        <v>20.361441066666664</v>
      </c>
      <c r="CQ87" s="61">
        <f>BX87/0.163</f>
        <v>17.267128834355827</v>
      </c>
      <c r="CR87" s="61">
        <f>BY87/0.0256</f>
        <v>13.50833295703125</v>
      </c>
      <c r="CS87" s="61">
        <f>BZ87/0.166</f>
        <v>10.696675120481927</v>
      </c>
      <c r="CT87" s="61">
        <f>CA87/0.025</f>
        <v>8.7314799999999995</v>
      </c>
      <c r="CU87" s="60">
        <f t="shared" si="209"/>
        <v>28.19221048357246</v>
      </c>
      <c r="CV87" s="60">
        <f>AZ87/BN87</f>
        <v>17.299705992819025</v>
      </c>
      <c r="CW87" s="60">
        <f>BN87/BK87</f>
        <v>1.6296352374586498</v>
      </c>
      <c r="CX87" s="59">
        <f t="shared" si="210"/>
        <v>162.07532278866233</v>
      </c>
      <c r="CY87" s="60">
        <f>BO87/CB87</f>
        <v>33.028863147566049</v>
      </c>
      <c r="CZ87" s="60">
        <f>BK87/CD87</f>
        <v>40.711279310822064</v>
      </c>
      <c r="DA87" s="60">
        <f>AX87/BR87</f>
        <v>7.1173060768042564</v>
      </c>
      <c r="DB87" s="60">
        <f t="shared" si="211"/>
        <v>3.1812694797629155</v>
      </c>
      <c r="DC87" s="61">
        <f>AZ87/CC87</f>
        <v>207.89134717673844</v>
      </c>
      <c r="DD87" s="60">
        <f>CC87/BM87</f>
        <v>2.1430057245624226</v>
      </c>
      <c r="DE87" s="60">
        <f>BM87/BZ87</f>
        <v>4.8657091154329919</v>
      </c>
      <c r="DF87" s="60">
        <f>CC87/BZ87</f>
        <v>10.427242488428464</v>
      </c>
      <c r="DG87" s="51">
        <f t="shared" si="212"/>
        <v>5.2765705109047056</v>
      </c>
      <c r="DH87" s="59">
        <f>AH87/BN87</f>
        <v>46.95853361699325</v>
      </c>
      <c r="DI87" s="51">
        <f>(BK87/0.46)/((O87/0.023)*(CD87/0.017))^0.5</f>
        <v>2.8567801512225812</v>
      </c>
      <c r="DJ87" s="60">
        <f>BN87/CA87</f>
        <v>1019.2862973974629</v>
      </c>
      <c r="DK87" s="60">
        <f>CG87/CT87</f>
        <v>105.29817121874619</v>
      </c>
      <c r="DL87" s="61">
        <f>CG87/CK87</f>
        <v>6.301354588589045</v>
      </c>
      <c r="DM87" s="60">
        <f>BN87/BZ87</f>
        <v>125.30464327877763</v>
      </c>
      <c r="DN87" s="61">
        <f>BL87/BQ87</f>
        <v>9.7823725556886704E-2</v>
      </c>
      <c r="DO87" s="61">
        <f>BR87/BZ87</f>
        <v>12.818655557122868</v>
      </c>
      <c r="DP87" s="59">
        <f>AY87/BZ87</f>
        <v>895.86369256250009</v>
      </c>
      <c r="DQ87" s="60">
        <f>AY87/BQ87</f>
        <v>11.709736756448283</v>
      </c>
      <c r="DR87" s="60">
        <f>AY87/(((BR87/0.195)*(BT87/0.259))^0.5)</f>
        <v>20.054331627132626</v>
      </c>
      <c r="DS87" s="51">
        <f>(BS87/0.074)/(((BR87/0.195)*(BT87/0.259))^0.5)</f>
        <v>1.0201684992483204</v>
      </c>
      <c r="DT87" s="62">
        <f t="shared" si="213"/>
        <v>6.2863878260103535E-4</v>
      </c>
      <c r="DU87" s="60">
        <f t="shared" si="214"/>
        <v>16.786192724158155</v>
      </c>
      <c r="DV87" s="60">
        <f>BK87/BM87</f>
        <v>15.802675258342854</v>
      </c>
      <c r="DW87" s="60">
        <f>1.74+LOG(BK87/BI87)-1.92*LOG(BJ87/BI87)</f>
        <v>0.1104435124197467</v>
      </c>
      <c r="DX87" s="60">
        <f t="shared" si="215"/>
        <v>31.433992195924411</v>
      </c>
      <c r="DY87" s="60">
        <f>CC87*100/BJ87</f>
        <v>4.2627734937571935</v>
      </c>
      <c r="DZ87" s="51">
        <f t="shared" si="216"/>
        <v>0.69193215300040778</v>
      </c>
      <c r="EA87" s="63">
        <f>BA87/BN87</f>
        <v>0.15101010284419719</v>
      </c>
      <c r="EB87" s="58">
        <f t="shared" si="217"/>
        <v>0.13561031214832095</v>
      </c>
      <c r="EC87" s="58">
        <f>(CB87/0.144)/(CH87*CI87)^(1/2)</f>
        <v>0.17743101695000063</v>
      </c>
      <c r="ED87" s="51"/>
      <c r="EE87" s="51">
        <f t="shared" si="195"/>
        <v>43.132118852070022</v>
      </c>
      <c r="EF87" s="51">
        <f t="shared" si="196"/>
        <v>3.9302797483861402</v>
      </c>
      <c r="EG87" s="51">
        <f t="shared" si="197"/>
        <v>6.8429226614848746</v>
      </c>
      <c r="EH87" s="51">
        <f t="shared" si="198"/>
        <v>13.578025708291532</v>
      </c>
      <c r="EI87" s="51">
        <f t="shared" si="199"/>
        <v>0.2221297570254398</v>
      </c>
      <c r="EJ87" s="51">
        <f t="shared" si="200"/>
        <v>15.672225699503972</v>
      </c>
      <c r="EK87" s="51">
        <f t="shared" si="201"/>
        <v>11.006832097400862</v>
      </c>
      <c r="EL87" s="51">
        <f t="shared" si="202"/>
        <v>2.9205543534726117</v>
      </c>
      <c r="EM87" s="51">
        <f t="shared" si="203"/>
        <v>1.3400406110085836</v>
      </c>
      <c r="EN87" s="51">
        <f t="shared" si="204"/>
        <v>1.3548705113559549</v>
      </c>
      <c r="EO87" s="51">
        <f t="shared" si="205"/>
        <v>100</v>
      </c>
    </row>
    <row r="88" spans="1:146" s="57" customFormat="1" ht="14.5" customHeight="1">
      <c r="A88" s="48" t="s">
        <v>231</v>
      </c>
      <c r="B88" s="48">
        <v>8</v>
      </c>
      <c r="C88" s="49" t="s">
        <v>234</v>
      </c>
      <c r="D88" s="48" t="s">
        <v>327</v>
      </c>
      <c r="E88" s="49" t="s">
        <v>63</v>
      </c>
      <c r="F88" s="50" t="s">
        <v>229</v>
      </c>
      <c r="G88" s="52">
        <v>42.16663952716965</v>
      </c>
      <c r="H88" s="52">
        <v>3.637038579495028</v>
      </c>
      <c r="I88" s="52">
        <v>6.8419614201105112</v>
      </c>
      <c r="J88" s="52">
        <v>13.660758069294367</v>
      </c>
      <c r="K88" s="52">
        <v>0.21218096602637268</v>
      </c>
      <c r="L88" s="52">
        <v>14.597573565395008</v>
      </c>
      <c r="M88" s="52">
        <v>10.579559077661052</v>
      </c>
      <c r="N88" s="52">
        <v>2.7984536082474225</v>
      </c>
      <c r="O88" s="52">
        <v>1.2411246071674549</v>
      </c>
      <c r="P88" s="52">
        <v>1.2630751671286482</v>
      </c>
      <c r="Q88" s="51">
        <v>3.5827082510857347</v>
      </c>
      <c r="R88" s="51"/>
      <c r="S88" s="52">
        <f t="shared" si="173"/>
        <v>96.998364587695505</v>
      </c>
      <c r="T88" s="53"/>
      <c r="U88" s="64">
        <v>0.70567119161811709</v>
      </c>
      <c r="V88" s="65">
        <v>0.51214834145526256</v>
      </c>
      <c r="W88" s="56">
        <v>18.294125964796873</v>
      </c>
      <c r="X88" s="56">
        <v>15.451093605212526</v>
      </c>
      <c r="Y88" s="56">
        <v>40.041382467705432</v>
      </c>
      <c r="Z88" s="52"/>
      <c r="AA88" s="52"/>
      <c r="AF88" s="58">
        <f t="shared" si="174"/>
        <v>0.71349321313937974</v>
      </c>
      <c r="AG88" s="59">
        <f t="shared" si="175"/>
        <v>21804.046284072694</v>
      </c>
      <c r="AH88" s="59">
        <f t="shared" si="176"/>
        <v>10303.816488704211</v>
      </c>
      <c r="AI88" s="59">
        <f t="shared" si="177"/>
        <v>5512.0600293494208</v>
      </c>
      <c r="AJ88" s="51">
        <f t="shared" si="178"/>
        <v>4.0395782154148776</v>
      </c>
      <c r="AK88" s="51">
        <f t="shared" si="179"/>
        <v>0.44350372774081093</v>
      </c>
      <c r="AL88" s="51">
        <f t="shared" si="180"/>
        <v>2.2547724798029485</v>
      </c>
      <c r="AM88" s="51">
        <f t="shared" si="181"/>
        <v>1.5462757574991075</v>
      </c>
      <c r="AN88" s="51">
        <f t="shared" si="182"/>
        <v>0.1813989484827303</v>
      </c>
      <c r="AO88" s="58">
        <f t="shared" si="183"/>
        <v>0.86918832597613715</v>
      </c>
      <c r="AP88" s="58">
        <f t="shared" si="184"/>
        <v>1.1504986550261769</v>
      </c>
      <c r="AQ88" s="58">
        <f t="shared" si="185"/>
        <v>0.27170232290084706</v>
      </c>
      <c r="AR88" s="51">
        <f t="shared" si="186"/>
        <v>0.86918832597613715</v>
      </c>
      <c r="AS88" s="59">
        <f t="shared" si="187"/>
        <v>1962.5192229559118</v>
      </c>
      <c r="AT88" s="59">
        <f t="shared" si="188"/>
        <v>1982.9786735331281</v>
      </c>
      <c r="AU88" s="58">
        <f t="shared" si="189"/>
        <v>2.9433804094531855E-2</v>
      </c>
      <c r="AV88" s="58">
        <f t="shared" si="190"/>
        <v>0.19634221642568134</v>
      </c>
      <c r="AX88" s="53">
        <v>159</v>
      </c>
      <c r="AY88" s="53">
        <v>1884</v>
      </c>
      <c r="AZ88" s="53">
        <v>2901</v>
      </c>
      <c r="BA88" s="57">
        <v>4.8</v>
      </c>
      <c r="BB88" s="53">
        <v>22.242864623248913</v>
      </c>
      <c r="BC88" s="53">
        <v>237</v>
      </c>
      <c r="BD88" s="53">
        <v>790</v>
      </c>
      <c r="BE88" s="57">
        <v>62</v>
      </c>
      <c r="BF88" s="53">
        <v>510</v>
      </c>
      <c r="BG88" s="53">
        <v>80</v>
      </c>
      <c r="BH88" s="53">
        <v>170</v>
      </c>
      <c r="BI88" s="53">
        <v>34</v>
      </c>
      <c r="BJ88" s="53">
        <v>381</v>
      </c>
      <c r="BK88" s="53">
        <v>150</v>
      </c>
      <c r="BL88" s="57">
        <v>12.7</v>
      </c>
      <c r="BM88" s="57">
        <v>10.5</v>
      </c>
      <c r="BN88" s="57">
        <v>213</v>
      </c>
      <c r="BO88" s="57">
        <v>404</v>
      </c>
      <c r="BP88" s="57">
        <v>45</v>
      </c>
      <c r="BQ88" s="57">
        <v>159</v>
      </c>
      <c r="BR88" s="57">
        <v>21</v>
      </c>
      <c r="BS88" s="57">
        <v>6.1</v>
      </c>
      <c r="BT88" s="57">
        <v>15</v>
      </c>
      <c r="BU88" s="57">
        <v>1.7</v>
      </c>
      <c r="BV88" s="57">
        <v>7.9</v>
      </c>
      <c r="BW88" s="57">
        <v>1.3</v>
      </c>
      <c r="BX88" s="57">
        <v>3.3</v>
      </c>
      <c r="BY88" s="57">
        <v>0.43</v>
      </c>
      <c r="BZ88" s="57">
        <v>2.2999999999999998</v>
      </c>
      <c r="CA88" s="57">
        <v>0.28999999999999998</v>
      </c>
      <c r="CB88" s="57">
        <v>12</v>
      </c>
      <c r="CC88" s="57">
        <v>20.3</v>
      </c>
      <c r="CD88" s="57">
        <v>5</v>
      </c>
      <c r="CE88" s="57">
        <v>15</v>
      </c>
      <c r="CF88" s="53"/>
      <c r="CG88" s="61">
        <f>BN88/0.242</f>
        <v>880.16528925619832</v>
      </c>
      <c r="CH88" s="61">
        <f>BO88/0.635</f>
        <v>636.22047244094483</v>
      </c>
      <c r="CI88" s="61">
        <f>BP88/0.0963</f>
        <v>467.28971962616822</v>
      </c>
      <c r="CJ88" s="61">
        <f>BQ88/0.48</f>
        <v>331.25</v>
      </c>
      <c r="CK88" s="61">
        <f>BR88/0.156</f>
        <v>134.61538461538461</v>
      </c>
      <c r="CL88" s="61">
        <v>53.059100000000001</v>
      </c>
      <c r="CM88" s="61">
        <f>BT88/0.212</f>
        <v>70.754716981132077</v>
      </c>
      <c r="CN88" s="61">
        <f>BU88/0.0376</f>
        <v>45.212765957446805</v>
      </c>
      <c r="CO88" s="61">
        <f>BV88/0.259</f>
        <v>30.501930501930502</v>
      </c>
      <c r="CP88" s="61">
        <f>BW88/0.0585</f>
        <v>22.222222222222221</v>
      </c>
      <c r="CQ88" s="61">
        <f>BX88/0.163</f>
        <v>20.245398773006134</v>
      </c>
      <c r="CR88" s="61">
        <f>BY88/0.0256</f>
        <v>16.796875</v>
      </c>
      <c r="CS88" s="61">
        <f>BZ88/0.166</f>
        <v>13.855421686746986</v>
      </c>
      <c r="CT88" s="61">
        <f>CA88/0.025</f>
        <v>11.599999999999998</v>
      </c>
      <c r="CU88" s="60">
        <f t="shared" si="209"/>
        <v>19.34</v>
      </c>
      <c r="CV88" s="60"/>
      <c r="CW88" s="60"/>
      <c r="CX88" s="59">
        <f t="shared" si="210"/>
        <v>145.36030856048464</v>
      </c>
      <c r="CY88" s="60">
        <f>BO88/CB88</f>
        <v>33.666666666666664</v>
      </c>
      <c r="CZ88" s="60"/>
      <c r="DA88" s="60"/>
      <c r="DB88" s="60">
        <f t="shared" si="211"/>
        <v>2.54</v>
      </c>
      <c r="DC88" s="61">
        <f>AZ88/CC88</f>
        <v>142.90640394088669</v>
      </c>
      <c r="DD88" s="60"/>
      <c r="DE88" s="60"/>
      <c r="DF88" s="60"/>
      <c r="DG88" s="51">
        <f t="shared" si="212"/>
        <v>4.4117647058823533</v>
      </c>
      <c r="DH88" s="59"/>
      <c r="DI88" s="51"/>
      <c r="DJ88" s="60"/>
      <c r="DK88" s="60"/>
      <c r="DL88" s="61"/>
      <c r="DM88" s="60"/>
      <c r="DN88" s="61">
        <f>BL88/BQ88</f>
        <v>7.9874213836477984E-2</v>
      </c>
      <c r="DO88" s="61">
        <f>BR88/BZ88</f>
        <v>9.1304347826086971</v>
      </c>
      <c r="DP88" s="59"/>
      <c r="DQ88" s="60"/>
      <c r="DR88" s="60"/>
      <c r="DS88" s="51"/>
      <c r="DT88" s="62">
        <f t="shared" si="213"/>
        <v>5.3078556263269638E-4</v>
      </c>
      <c r="DU88" s="60">
        <f t="shared" si="214"/>
        <v>11.205882352941176</v>
      </c>
      <c r="DV88" s="60"/>
      <c r="DW88" s="60">
        <f>1.74+LOG(BK88/BI88)-1.92*LOG(BJ88/BI88)</f>
        <v>0.36967590943736717</v>
      </c>
      <c r="DX88" s="60">
        <f t="shared" si="215"/>
        <v>39.370078740157481</v>
      </c>
      <c r="DY88" s="60"/>
      <c r="DZ88" s="51">
        <f t="shared" si="216"/>
        <v>0.57892493768441422</v>
      </c>
      <c r="EA88" s="63">
        <f>BA88/BN88</f>
        <v>2.2535211267605632E-2</v>
      </c>
      <c r="EB88" s="58">
        <f t="shared" si="217"/>
        <v>0.13533333333333333</v>
      </c>
      <c r="EC88" s="58"/>
      <c r="ED88" s="51"/>
      <c r="EE88" s="51">
        <f t="shared" si="195"/>
        <v>43.471495325106332</v>
      </c>
      <c r="EF88" s="51">
        <f t="shared" si="196"/>
        <v>3.7495875265059837</v>
      </c>
      <c r="EG88" s="51">
        <f t="shared" si="197"/>
        <v>7.0536873989506752</v>
      </c>
      <c r="EH88" s="51">
        <f t="shared" si="198"/>
        <v>14.083493188118421</v>
      </c>
      <c r="EI88" s="51">
        <f t="shared" si="199"/>
        <v>0.21874695200097052</v>
      </c>
      <c r="EJ88" s="51">
        <f t="shared" si="200"/>
        <v>15.049298642759537</v>
      </c>
      <c r="EK88" s="51">
        <f t="shared" si="201"/>
        <v>10.906945825974365</v>
      </c>
      <c r="EL88" s="51">
        <f t="shared" si="202"/>
        <v>2.8850523615966344</v>
      </c>
      <c r="EM88" s="51">
        <f t="shared" si="203"/>
        <v>1.2795314770955373</v>
      </c>
      <c r="EN88" s="51">
        <f t="shared" si="204"/>
        <v>1.3021613018915503</v>
      </c>
      <c r="EO88" s="51">
        <f t="shared" si="205"/>
        <v>100</v>
      </c>
    </row>
    <row r="89" spans="1:146" s="57" customFormat="1" ht="14.5" customHeight="1">
      <c r="A89" s="48" t="s">
        <v>231</v>
      </c>
      <c r="B89" s="48">
        <v>8</v>
      </c>
      <c r="C89" s="49" t="s">
        <v>233</v>
      </c>
      <c r="D89" s="48" t="s">
        <v>328</v>
      </c>
      <c r="E89" s="49" t="s">
        <v>63</v>
      </c>
      <c r="F89" s="50" t="s">
        <v>229</v>
      </c>
      <c r="G89" s="52">
        <v>38.818781054428221</v>
      </c>
      <c r="H89" s="52">
        <v>3.6101897737475737</v>
      </c>
      <c r="I89" s="52">
        <v>4.8117027773000007</v>
      </c>
      <c r="J89" s="52">
        <v>12.459967065105044</v>
      </c>
      <c r="K89" s="52">
        <v>0.19086552788420605</v>
      </c>
      <c r="L89" s="52">
        <v>20.516946881499997</v>
      </c>
      <c r="M89" s="52">
        <v>10.2908625117875</v>
      </c>
      <c r="N89" s="52">
        <v>1.0357142857142856</v>
      </c>
      <c r="O89" s="52">
        <v>1.3906285567999996</v>
      </c>
      <c r="P89" s="52">
        <v>0.44849740932642485</v>
      </c>
      <c r="Q89" s="52">
        <v>5.14</v>
      </c>
      <c r="R89" s="52"/>
      <c r="S89" s="52">
        <f t="shared" si="173"/>
        <v>93.574155843593246</v>
      </c>
      <c r="T89" s="53"/>
      <c r="U89" s="64"/>
      <c r="V89" s="65"/>
      <c r="W89" s="56"/>
      <c r="X89" s="56"/>
      <c r="Y89" s="56"/>
      <c r="Z89" s="52"/>
      <c r="AA89" s="52"/>
      <c r="AF89" s="58">
        <f t="shared" si="174"/>
        <v>0.79328033631905726</v>
      </c>
      <c r="AG89" s="59">
        <f t="shared" si="175"/>
        <v>21643.087693616704</v>
      </c>
      <c r="AH89" s="59">
        <f t="shared" si="176"/>
        <v>11544.998278553598</v>
      </c>
      <c r="AI89" s="59">
        <f t="shared" si="177"/>
        <v>1957.242694300518</v>
      </c>
      <c r="AJ89" s="51">
        <f t="shared" si="178"/>
        <v>2.426342842514285</v>
      </c>
      <c r="AK89" s="51">
        <f t="shared" si="179"/>
        <v>1.3426758479448273</v>
      </c>
      <c r="AL89" s="51">
        <f t="shared" si="180"/>
        <v>0.74478140165450535</v>
      </c>
      <c r="AM89" s="51">
        <f t="shared" si="181"/>
        <v>2.1387153338598419</v>
      </c>
      <c r="AN89" s="51">
        <f t="shared" si="182"/>
        <v>0.28900965441184739</v>
      </c>
      <c r="AO89" s="58">
        <f t="shared" si="183"/>
        <v>0.66691237025876171</v>
      </c>
      <c r="AP89" s="58">
        <f t="shared" si="184"/>
        <v>1.4994473705923319</v>
      </c>
      <c r="AQ89" s="58">
        <f t="shared" si="185"/>
        <v>0.21952224375054438</v>
      </c>
      <c r="AR89" s="51">
        <f t="shared" si="186"/>
        <v>0.66691237025876171</v>
      </c>
      <c r="AS89" s="59">
        <f t="shared" si="187"/>
        <v>2128.5968229031696</v>
      </c>
      <c r="AT89" s="59">
        <f t="shared" si="188"/>
        <v>2315.1930509973727</v>
      </c>
      <c r="AU89" s="58">
        <f t="shared" si="189"/>
        <v>3.5823601850098918E-2</v>
      </c>
      <c r="AV89" s="58">
        <f t="shared" si="190"/>
        <v>0.31281766840585945</v>
      </c>
      <c r="AX89" s="53">
        <v>146</v>
      </c>
      <c r="AY89" s="53">
        <v>1249.8406969920668</v>
      </c>
      <c r="AZ89" s="53">
        <v>10623.756742424432</v>
      </c>
      <c r="BA89" s="48">
        <v>3.8</v>
      </c>
      <c r="BB89" s="53">
        <v>23.690800696602558</v>
      </c>
      <c r="BC89" s="53">
        <v>278.06368923128235</v>
      </c>
      <c r="BD89" s="53">
        <v>1301.5245307378116</v>
      </c>
      <c r="BF89" s="53">
        <v>890.81150648091102</v>
      </c>
      <c r="BG89" s="53">
        <v>106.83347994586676</v>
      </c>
      <c r="BH89" s="53">
        <v>89.974285149427345</v>
      </c>
      <c r="BI89" s="53">
        <v>19.267342083241935</v>
      </c>
      <c r="BJ89" s="53">
        <v>427.12978897907908</v>
      </c>
      <c r="BK89" s="53">
        <v>132.59074080923799</v>
      </c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53"/>
      <c r="CG89" s="61"/>
      <c r="CH89" s="61"/>
      <c r="CI89" s="61"/>
      <c r="CJ89" s="61"/>
      <c r="CK89" s="61"/>
      <c r="CL89" s="61"/>
      <c r="CM89" s="61"/>
      <c r="CN89" s="61"/>
      <c r="CO89" s="61"/>
      <c r="CP89" s="61"/>
      <c r="CQ89" s="61"/>
      <c r="CR89" s="61"/>
      <c r="CS89" s="61"/>
      <c r="CT89" s="61"/>
      <c r="CU89" s="60">
        <f t="shared" si="209"/>
        <v>80.124424055440855</v>
      </c>
      <c r="CV89" s="60"/>
      <c r="CW89" s="60"/>
      <c r="CX89" s="59">
        <f t="shared" si="210"/>
        <v>163.23227068136848</v>
      </c>
      <c r="CY89" s="60"/>
      <c r="CZ89" s="60"/>
      <c r="DA89" s="60"/>
      <c r="DB89" s="60">
        <f t="shared" si="211"/>
        <v>3.2214149070454527</v>
      </c>
      <c r="DC89" s="61"/>
      <c r="DD89" s="60"/>
      <c r="DE89" s="60"/>
      <c r="DF89" s="60"/>
      <c r="DG89" s="51">
        <f t="shared" si="212"/>
        <v>6.881631116341719</v>
      </c>
      <c r="DH89" s="59"/>
      <c r="DI89" s="51"/>
      <c r="DJ89" s="60"/>
      <c r="DK89" s="60"/>
      <c r="DL89" s="61"/>
      <c r="DM89" s="60"/>
      <c r="DN89" s="61"/>
      <c r="DO89" s="61"/>
      <c r="DP89" s="59"/>
      <c r="DQ89" s="60"/>
      <c r="DR89" s="60"/>
      <c r="DS89" s="51"/>
      <c r="DT89" s="62">
        <f t="shared" si="213"/>
        <v>8.001019669199869E-4</v>
      </c>
      <c r="DU89" s="60">
        <f t="shared" si="214"/>
        <v>22.168589062971055</v>
      </c>
      <c r="DV89" s="60"/>
      <c r="DW89" s="60"/>
      <c r="DX89" s="60">
        <f t="shared" si="215"/>
        <v>31.042260275537071</v>
      </c>
      <c r="DY89" s="60"/>
      <c r="DZ89" s="51">
        <f t="shared" si="216"/>
        <v>0.87991596213240919</v>
      </c>
      <c r="EA89" s="63"/>
      <c r="EB89" s="58">
        <f t="shared" si="217"/>
        <v>0</v>
      </c>
      <c r="EC89" s="58"/>
      <c r="ED89" s="51"/>
      <c r="EE89" s="51">
        <f t="shared" si="195"/>
        <v>41.484511085852382</v>
      </c>
      <c r="EF89" s="51">
        <f t="shared" si="196"/>
        <v>3.8581056288468276</v>
      </c>
      <c r="EG89" s="51">
        <f t="shared" si="197"/>
        <v>5.1421279026472178</v>
      </c>
      <c r="EH89" s="51">
        <f t="shared" si="198"/>
        <v>13.315607234471399</v>
      </c>
      <c r="EI89" s="51">
        <f t="shared" si="199"/>
        <v>0.20397248167884388</v>
      </c>
      <c r="EJ89" s="51">
        <f t="shared" si="200"/>
        <v>21.925869057043421</v>
      </c>
      <c r="EK89" s="51">
        <f t="shared" si="201"/>
        <v>10.997547794060154</v>
      </c>
      <c r="EL89" s="51">
        <f t="shared" si="202"/>
        <v>1.1068379686432384</v>
      </c>
      <c r="EM89" s="51">
        <f t="shared" si="203"/>
        <v>1.4861246080855903</v>
      </c>
      <c r="EN89" s="51">
        <f t="shared" si="204"/>
        <v>0.47929623867093873</v>
      </c>
      <c r="EO89" s="51">
        <f t="shared" si="205"/>
        <v>100.00000000000001</v>
      </c>
    </row>
    <row r="90" spans="1:146" s="57" customFormat="1" ht="14.5" customHeight="1">
      <c r="A90" s="48" t="s">
        <v>231</v>
      </c>
      <c r="B90" s="48">
        <v>8</v>
      </c>
      <c r="C90" s="66" t="s">
        <v>232</v>
      </c>
      <c r="D90" s="48" t="s">
        <v>329</v>
      </c>
      <c r="E90" s="49" t="s">
        <v>63</v>
      </c>
      <c r="F90" s="50" t="s">
        <v>229</v>
      </c>
      <c r="G90" s="52">
        <v>33.700000000000003</v>
      </c>
      <c r="H90" s="52">
        <v>6.38</v>
      </c>
      <c r="I90" s="52">
        <v>5.1100000000000003</v>
      </c>
      <c r="J90" s="52">
        <v>15.9</v>
      </c>
      <c r="K90" s="52">
        <v>0.23100000000000001</v>
      </c>
      <c r="L90" s="52">
        <v>15.14</v>
      </c>
      <c r="M90" s="52">
        <v>10.11</v>
      </c>
      <c r="N90" s="52">
        <v>0.41</v>
      </c>
      <c r="O90" s="52">
        <v>2.98</v>
      </c>
      <c r="P90" s="52">
        <v>0.89</v>
      </c>
      <c r="Q90" s="52">
        <v>6.12</v>
      </c>
      <c r="R90" s="52"/>
      <c r="S90" s="52">
        <f t="shared" si="173"/>
        <v>90.851000000000013</v>
      </c>
      <c r="T90" s="53"/>
      <c r="U90" s="64">
        <v>0.70516156913254846</v>
      </c>
      <c r="V90" s="65">
        <v>0.51226719242519647</v>
      </c>
      <c r="W90" s="56">
        <v>18.969122012145789</v>
      </c>
      <c r="X90" s="56">
        <v>15.564095040926752</v>
      </c>
      <c r="Y90" s="56">
        <v>39.941511392959349</v>
      </c>
      <c r="Z90" s="52"/>
      <c r="AA90" s="52"/>
      <c r="AF90" s="58">
        <f t="shared" si="174"/>
        <v>0.68935462943259518</v>
      </c>
      <c r="AG90" s="59">
        <f t="shared" si="175"/>
        <v>38248.1</v>
      </c>
      <c r="AH90" s="59">
        <f t="shared" si="176"/>
        <v>24739.96</v>
      </c>
      <c r="AI90" s="59">
        <f t="shared" si="177"/>
        <v>3883.96</v>
      </c>
      <c r="AJ90" s="51">
        <f t="shared" si="178"/>
        <v>3.39</v>
      </c>
      <c r="AK90" s="51">
        <f t="shared" si="179"/>
        <v>7.2682926829268295</v>
      </c>
      <c r="AL90" s="51">
        <f t="shared" si="180"/>
        <v>0.13758389261744966</v>
      </c>
      <c r="AM90" s="51">
        <f t="shared" si="181"/>
        <v>1.978473581213307</v>
      </c>
      <c r="AN90" s="51">
        <f t="shared" si="182"/>
        <v>0.58317025440313108</v>
      </c>
      <c r="AO90" s="58">
        <f t="shared" si="183"/>
        <v>0.76320066207103454</v>
      </c>
      <c r="AP90" s="58">
        <f t="shared" si="184"/>
        <v>1.3102714000357163</v>
      </c>
      <c r="AQ90" s="58">
        <f t="shared" si="185"/>
        <v>0.2293421720653421</v>
      </c>
      <c r="AR90" s="51">
        <f t="shared" si="186"/>
        <v>0.76320066207103454</v>
      </c>
      <c r="AS90" s="59">
        <f t="shared" si="187"/>
        <v>1611.4640915138164</v>
      </c>
      <c r="AT90" s="59">
        <f t="shared" si="188"/>
        <v>2072.7911654286186</v>
      </c>
      <c r="AU90" s="58">
        <f t="shared" si="189"/>
        <v>8.8427299703264087E-2</v>
      </c>
      <c r="AV90" s="58">
        <f t="shared" si="190"/>
        <v>0.63121060657052275</v>
      </c>
      <c r="AX90" s="53">
        <v>339</v>
      </c>
      <c r="AY90" s="53">
        <v>1792.4359376772459</v>
      </c>
      <c r="AZ90" s="53">
        <v>12058.818237140431</v>
      </c>
      <c r="BA90" s="67">
        <v>5.5</v>
      </c>
      <c r="BB90" s="53">
        <v>28.845118568550486</v>
      </c>
      <c r="BC90" s="53">
        <v>195.91799151575978</v>
      </c>
      <c r="BD90" s="53">
        <v>1018.3766298106904</v>
      </c>
      <c r="BF90" s="53">
        <v>618.939179441948</v>
      </c>
      <c r="BG90" s="53">
        <v>150.40696150955554</v>
      </c>
      <c r="BH90" s="53">
        <v>106.52749876716108</v>
      </c>
      <c r="BI90" s="53">
        <v>25.838379938367371</v>
      </c>
      <c r="BJ90" s="53">
        <v>594.47125870009415</v>
      </c>
      <c r="BK90" s="53">
        <v>221.6429628079745</v>
      </c>
      <c r="BL90" s="67">
        <v>14.8</v>
      </c>
      <c r="BM90" s="67">
        <v>17.399999999999999</v>
      </c>
      <c r="BN90" s="68">
        <v>266</v>
      </c>
      <c r="BO90" s="68">
        <v>513</v>
      </c>
      <c r="BP90" s="67">
        <v>57.5</v>
      </c>
      <c r="BQ90" s="68">
        <v>156</v>
      </c>
      <c r="BR90" s="67">
        <v>23.3</v>
      </c>
      <c r="BS90" s="67">
        <v>5.99</v>
      </c>
      <c r="BT90" s="67">
        <v>13.3</v>
      </c>
      <c r="BU90" s="67">
        <v>1.5</v>
      </c>
      <c r="BV90" s="67">
        <v>6.5</v>
      </c>
      <c r="BW90" s="67">
        <v>1</v>
      </c>
      <c r="BX90" s="67">
        <v>2.5</v>
      </c>
      <c r="BY90" s="67">
        <v>0.3</v>
      </c>
      <c r="BZ90" s="67">
        <v>1.6</v>
      </c>
      <c r="CA90" s="67">
        <v>0.2</v>
      </c>
      <c r="CB90" s="67">
        <v>9</v>
      </c>
      <c r="CC90" s="67">
        <v>26.8</v>
      </c>
      <c r="CD90" s="67">
        <v>5.9</v>
      </c>
      <c r="CE90" s="67">
        <v>16</v>
      </c>
      <c r="CF90" s="53"/>
      <c r="CG90" s="61"/>
      <c r="CH90" s="61">
        <f>BO90/0.635</f>
        <v>807.87401574803152</v>
      </c>
      <c r="CI90" s="61">
        <f>BP90/0.0963</f>
        <v>597.09241952232605</v>
      </c>
      <c r="CJ90" s="61">
        <f>BQ90/0.48</f>
        <v>325</v>
      </c>
      <c r="CK90" s="61">
        <f>BR90/0.156</f>
        <v>149.35897435897436</v>
      </c>
      <c r="CL90" s="61">
        <v>55.059100000000001</v>
      </c>
      <c r="CM90" s="61">
        <f>BT90/0.212</f>
        <v>62.735849056603776</v>
      </c>
      <c r="CN90" s="61">
        <f>BU90/0.0376</f>
        <v>39.893617021276597</v>
      </c>
      <c r="CO90" s="61">
        <f>BV90/0.259</f>
        <v>25.096525096525095</v>
      </c>
      <c r="CP90" s="61">
        <f>BW90/0.0585</f>
        <v>17.094017094017094</v>
      </c>
      <c r="CQ90" s="61">
        <f>BX90/0.163</f>
        <v>15.337423312883436</v>
      </c>
      <c r="CR90" s="61">
        <f>BY90/0.0256</f>
        <v>11.718749999999998</v>
      </c>
      <c r="CS90" s="61">
        <f>BZ90/0.166</f>
        <v>9.6385542168674707</v>
      </c>
      <c r="CT90" s="61">
        <f>CA90/0.025</f>
        <v>8</v>
      </c>
      <c r="CU90" s="60">
        <f t="shared" si="209"/>
        <v>54.406501719559969</v>
      </c>
      <c r="CV90" s="60">
        <f>AZ90/BN90</f>
        <v>45.333903147144476</v>
      </c>
      <c r="CW90" s="60">
        <f>BN90/BK90</f>
        <v>1.2001283353645442</v>
      </c>
      <c r="CX90" s="59">
        <f t="shared" si="210"/>
        <v>172.56627287164142</v>
      </c>
      <c r="CY90" s="60">
        <f>BO90/CB90</f>
        <v>57</v>
      </c>
      <c r="CZ90" s="60">
        <f>BK90/CD90</f>
        <v>37.566603865758388</v>
      </c>
      <c r="DA90" s="60">
        <f>AX90/BR90</f>
        <v>14.549356223175966</v>
      </c>
      <c r="DB90" s="60">
        <f t="shared" si="211"/>
        <v>2.6821120380669523</v>
      </c>
      <c r="DC90" s="61">
        <f>AZ90/CC90</f>
        <v>449.95590437091158</v>
      </c>
      <c r="DD90" s="60">
        <f>CC90/BM90</f>
        <v>1.5402298850574714</v>
      </c>
      <c r="DE90" s="60">
        <f>BM90/BZ90</f>
        <v>10.874999999999998</v>
      </c>
      <c r="DF90" s="60">
        <f>CC90/BZ90</f>
        <v>16.75</v>
      </c>
      <c r="DG90" s="51">
        <f t="shared" si="212"/>
        <v>8.5780518490966688</v>
      </c>
      <c r="DH90" s="59">
        <f>AH90/BN90</f>
        <v>93.007368421052632</v>
      </c>
      <c r="DI90" s="51">
        <f>(BK90/0.46)/((O90/0.023)*(CD90/0.017))^0.5</f>
        <v>2.2722198845871335</v>
      </c>
      <c r="DJ90" s="60">
        <f>BN90/CA90</f>
        <v>1330</v>
      </c>
      <c r="DK90" s="60">
        <f>CG90/CT90</f>
        <v>0</v>
      </c>
      <c r="DL90" s="61">
        <f>CG90/CK90</f>
        <v>0</v>
      </c>
      <c r="DM90" s="60">
        <f>BN90/BZ90</f>
        <v>166.25</v>
      </c>
      <c r="DN90" s="61">
        <f>BL90/BQ90</f>
        <v>9.4871794871794882E-2</v>
      </c>
      <c r="DO90" s="61">
        <f>BR90/BZ90</f>
        <v>14.5625</v>
      </c>
      <c r="DP90" s="59">
        <f>AY90/BZ90</f>
        <v>1120.2724610482785</v>
      </c>
      <c r="DQ90" s="60">
        <f>AY90/BQ90</f>
        <v>11.489973959469525</v>
      </c>
      <c r="DR90" s="60">
        <f>AY90/(((BR90/0.195)*(BT90/0.259))^0.5)</f>
        <v>22.882688546077084</v>
      </c>
      <c r="DS90" s="51">
        <f>(BS90/0.074)/(((BR90/0.195)*(BT90/0.259))^0.5)</f>
        <v>1.0333763295043901</v>
      </c>
      <c r="DT90" s="62">
        <f t="shared" si="213"/>
        <v>5.5789999462734744E-4</v>
      </c>
      <c r="DU90" s="60">
        <f t="shared" si="214"/>
        <v>23.007296127624652</v>
      </c>
      <c r="DV90" s="60">
        <f>BK90/BM90</f>
        <v>12.738101310803133</v>
      </c>
      <c r="DW90" s="60">
        <f>1.74+LOG(BK90/BI90)-1.92*LOG(BJ90/BI90)</f>
        <v>5.8606748857825242E-2</v>
      </c>
      <c r="DX90" s="60">
        <f t="shared" si="215"/>
        <v>37.284050248725578</v>
      </c>
      <c r="DY90" s="60">
        <f>CC90*100/BJ90</f>
        <v>4.5082078582911578</v>
      </c>
      <c r="DZ90" s="51">
        <f t="shared" si="216"/>
        <v>0.62083729905917184</v>
      </c>
      <c r="EA90" s="63">
        <f>BA90/BN90</f>
        <v>2.0676691729323307E-2</v>
      </c>
      <c r="EB90" s="58">
        <f t="shared" si="217"/>
        <v>0.12091518566830746</v>
      </c>
      <c r="EC90" s="58">
        <f>(CB90/0.144)/(CH90*CI90)^(1/2)</f>
        <v>8.9988584113684461E-2</v>
      </c>
      <c r="ED90" s="51"/>
      <c r="EE90" s="51">
        <f t="shared" si="195"/>
        <v>37.093702876137854</v>
      </c>
      <c r="EF90" s="51">
        <f t="shared" si="196"/>
        <v>7.0224873694290642</v>
      </c>
      <c r="EG90" s="51">
        <f t="shared" si="197"/>
        <v>5.6245941156398933</v>
      </c>
      <c r="EH90" s="51">
        <f t="shared" si="198"/>
        <v>17.501183256100646</v>
      </c>
      <c r="EI90" s="51">
        <f t="shared" si="199"/>
        <v>0.25426247372070754</v>
      </c>
      <c r="EJ90" s="51">
        <f t="shared" si="200"/>
        <v>16.664648710526023</v>
      </c>
      <c r="EK90" s="51">
        <f t="shared" si="201"/>
        <v>11.128110862841353</v>
      </c>
      <c r="EL90" s="51">
        <f t="shared" si="202"/>
        <v>0.45128837327051979</v>
      </c>
      <c r="EM90" s="51">
        <f t="shared" si="203"/>
        <v>3.2800959813320709</v>
      </c>
      <c r="EN90" s="51">
        <f t="shared" si="204"/>
        <v>0.97962598100186005</v>
      </c>
      <c r="EO90" s="51">
        <f t="shared" si="205"/>
        <v>99.999999999999986</v>
      </c>
    </row>
    <row r="91" spans="1:146" s="57" customFormat="1" ht="14.5" customHeight="1">
      <c r="A91" s="48" t="s">
        <v>231</v>
      </c>
      <c r="B91" s="48">
        <v>8</v>
      </c>
      <c r="C91" s="66" t="s">
        <v>230</v>
      </c>
      <c r="D91" s="48" t="s">
        <v>329</v>
      </c>
      <c r="E91" s="49" t="s">
        <v>63</v>
      </c>
      <c r="F91" s="50" t="s">
        <v>229</v>
      </c>
      <c r="G91" s="52">
        <v>38.35</v>
      </c>
      <c r="H91" s="52">
        <v>3.6579999999999999</v>
      </c>
      <c r="I91" s="52">
        <v>4.88</v>
      </c>
      <c r="J91" s="52">
        <v>12.34</v>
      </c>
      <c r="K91" s="52">
        <v>0.18099999999999999</v>
      </c>
      <c r="L91" s="52">
        <v>20.399999999999999</v>
      </c>
      <c r="M91" s="52">
        <v>9.74</v>
      </c>
      <c r="N91" s="52">
        <v>0.44</v>
      </c>
      <c r="O91" s="52">
        <v>1.17</v>
      </c>
      <c r="P91" s="52">
        <v>0.45</v>
      </c>
      <c r="Q91" s="52">
        <v>5.42</v>
      </c>
      <c r="R91" s="52"/>
      <c r="S91" s="52">
        <f t="shared" si="173"/>
        <v>91.608999999999995</v>
      </c>
      <c r="T91" s="53"/>
      <c r="U91" s="64">
        <v>0.70513713080430418</v>
      </c>
      <c r="V91" s="65">
        <v>0.51224590921537794</v>
      </c>
      <c r="W91" s="56">
        <v>18.858322546034945</v>
      </c>
      <c r="X91" s="56">
        <v>15.46972480154737</v>
      </c>
      <c r="Y91" s="56">
        <v>40.320629901870497</v>
      </c>
      <c r="Z91" s="52"/>
      <c r="AA91" s="52"/>
      <c r="AF91" s="58">
        <f t="shared" si="174"/>
        <v>0.79392872888058552</v>
      </c>
      <c r="AG91" s="59">
        <f t="shared" si="175"/>
        <v>21929.71</v>
      </c>
      <c r="AH91" s="59">
        <f t="shared" si="176"/>
        <v>9713.34</v>
      </c>
      <c r="AI91" s="59">
        <f t="shared" si="177"/>
        <v>1963.8</v>
      </c>
      <c r="AJ91" s="51">
        <f t="shared" si="178"/>
        <v>1.6099999999999999</v>
      </c>
      <c r="AK91" s="51">
        <f t="shared" si="179"/>
        <v>2.6590909090909087</v>
      </c>
      <c r="AL91" s="51">
        <f t="shared" si="180"/>
        <v>0.37606837606837612</v>
      </c>
      <c r="AM91" s="51">
        <f t="shared" si="181"/>
        <v>1.9959016393442626</v>
      </c>
      <c r="AN91" s="51">
        <f t="shared" si="182"/>
        <v>0.23975409836065573</v>
      </c>
      <c r="AO91" s="58">
        <f t="shared" si="183"/>
        <v>0.40782843296953214</v>
      </c>
      <c r="AP91" s="58">
        <f t="shared" si="184"/>
        <v>2.4520114811973093</v>
      </c>
      <c r="AQ91" s="58">
        <f t="shared" si="185"/>
        <v>0.2477325605184634</v>
      </c>
      <c r="AR91" s="51">
        <f t="shared" si="186"/>
        <v>0.40782843296953214</v>
      </c>
      <c r="AS91" s="59">
        <f t="shared" si="187"/>
        <v>2284.0551900631217</v>
      </c>
      <c r="AT91" s="59">
        <f t="shared" si="188"/>
        <v>2294.9181777611757</v>
      </c>
      <c r="AU91" s="58">
        <f t="shared" si="189"/>
        <v>3.0508474576271184E-2</v>
      </c>
      <c r="AV91" s="58">
        <f t="shared" si="190"/>
        <v>0.25950454213219171</v>
      </c>
      <c r="AX91" s="53">
        <v>108</v>
      </c>
      <c r="AY91" s="53">
        <v>1263.6380722644042</v>
      </c>
      <c r="AZ91" s="53">
        <v>17803.751808838966</v>
      </c>
      <c r="BA91" s="67">
        <v>1.8</v>
      </c>
      <c r="BB91" s="53">
        <v>16.290509911669702</v>
      </c>
      <c r="BC91" s="53">
        <v>241.33872630226205</v>
      </c>
      <c r="BD91" s="53">
        <v>1177.7285506852129</v>
      </c>
      <c r="BF91" s="53">
        <v>817.02977764199204</v>
      </c>
      <c r="BG91" s="53">
        <v>92.530477097898569</v>
      </c>
      <c r="BH91" s="53">
        <v>100.08269123811472</v>
      </c>
      <c r="BI91" s="53">
        <v>22.9064195537091</v>
      </c>
      <c r="BJ91" s="53">
        <v>372.91757877647098</v>
      </c>
      <c r="BK91" s="53">
        <v>120.76119847890837</v>
      </c>
      <c r="BL91" s="67">
        <v>6.7</v>
      </c>
      <c r="BM91" s="67">
        <v>9.9</v>
      </c>
      <c r="BN91" s="68">
        <v>143</v>
      </c>
      <c r="BO91" s="68">
        <v>284</v>
      </c>
      <c r="BP91" s="67">
        <v>31.6</v>
      </c>
      <c r="BQ91" s="68">
        <v>90.2</v>
      </c>
      <c r="BR91" s="67">
        <v>14.3</v>
      </c>
      <c r="BS91" s="67">
        <v>3.86</v>
      </c>
      <c r="BT91" s="67">
        <v>8.9</v>
      </c>
      <c r="BU91" s="67">
        <v>1.1000000000000001</v>
      </c>
      <c r="BV91" s="67">
        <v>4.7</v>
      </c>
      <c r="BW91" s="67">
        <v>0.8</v>
      </c>
      <c r="BX91" s="67">
        <v>1.9</v>
      </c>
      <c r="BY91" s="67">
        <v>0.22</v>
      </c>
      <c r="BZ91" s="67">
        <v>1.2</v>
      </c>
      <c r="CA91" s="67">
        <v>0.16</v>
      </c>
      <c r="CB91" s="67">
        <v>5</v>
      </c>
      <c r="CC91" s="67">
        <v>11.8</v>
      </c>
      <c r="CD91" s="67">
        <v>3.6</v>
      </c>
      <c r="CE91" s="67">
        <v>11</v>
      </c>
      <c r="CF91" s="53"/>
      <c r="CG91" s="61">
        <f>BN91/0.242</f>
        <v>590.90909090909088</v>
      </c>
      <c r="CH91" s="61">
        <f>BO91/0.635</f>
        <v>447.24409448818898</v>
      </c>
      <c r="CI91" s="61">
        <f>BP91/0.0963</f>
        <v>328.14122533748707</v>
      </c>
      <c r="CJ91" s="61">
        <f>BQ91/0.48</f>
        <v>187.91666666666669</v>
      </c>
      <c r="CK91" s="61">
        <f>BR91/0.156</f>
        <v>91.666666666666671</v>
      </c>
      <c r="CL91" s="61">
        <v>56.059100000000001</v>
      </c>
      <c r="CM91" s="61">
        <f>BT91/0.212</f>
        <v>41.981132075471699</v>
      </c>
      <c r="CN91" s="61">
        <f>BU91/0.0376</f>
        <v>29.25531914893617</v>
      </c>
      <c r="CO91" s="61">
        <f>BV91/0.259</f>
        <v>18.146718146718147</v>
      </c>
      <c r="CP91" s="61">
        <f>BW91/0.0585</f>
        <v>13.675213675213675</v>
      </c>
      <c r="CQ91" s="61">
        <f>BX91/0.163</f>
        <v>11.656441717791409</v>
      </c>
      <c r="CR91" s="61">
        <f>BY91/0.0256</f>
        <v>8.59375</v>
      </c>
      <c r="CS91" s="61">
        <f>BZ91/0.166</f>
        <v>7.2289156626506017</v>
      </c>
      <c r="CT91" s="61">
        <f>CA91/0.025</f>
        <v>6.3999999999999995</v>
      </c>
      <c r="CU91" s="60">
        <f t="shared" si="209"/>
        <v>147.42940640779159</v>
      </c>
      <c r="CV91" s="60">
        <f>AZ91/BN91</f>
        <v>124.50176090097179</v>
      </c>
      <c r="CW91" s="60">
        <f>BN91/BK91</f>
        <v>1.1841551905844638</v>
      </c>
      <c r="CX91" s="59">
        <f t="shared" si="210"/>
        <v>181.59566380777636</v>
      </c>
      <c r="CY91" s="60">
        <f>BO91/CB91</f>
        <v>56.8</v>
      </c>
      <c r="CZ91" s="60">
        <f>BK91/CD91</f>
        <v>33.544777355252322</v>
      </c>
      <c r="DA91" s="60">
        <f>AX91/BR91</f>
        <v>7.5524475524475525</v>
      </c>
      <c r="DB91" s="60">
        <f t="shared" si="211"/>
        <v>3.0880579480304111</v>
      </c>
      <c r="DC91" s="61"/>
      <c r="DD91" s="60">
        <f>CC91/BM91</f>
        <v>1.191919191919192</v>
      </c>
      <c r="DE91" s="60">
        <f>BM91/BZ91</f>
        <v>8.25</v>
      </c>
      <c r="DF91" s="60">
        <f>CC91/BZ91</f>
        <v>9.8333333333333339</v>
      </c>
      <c r="DG91" s="51">
        <f t="shared" si="212"/>
        <v>5.2719368994249578</v>
      </c>
      <c r="DH91" s="59">
        <f>AH91/BN91</f>
        <v>67.925454545454542</v>
      </c>
      <c r="DI91" s="51">
        <f>(BK91/0.46)/((O91/0.023)*(CD91/0.017))^0.5</f>
        <v>2.5293782527387316</v>
      </c>
      <c r="DJ91" s="60">
        <f>BN91/CA91</f>
        <v>893.75</v>
      </c>
      <c r="DK91" s="60">
        <f>CG91/CT91</f>
        <v>92.329545454545453</v>
      </c>
      <c r="DL91" s="61">
        <f>CG91/CK91</f>
        <v>6.4462809917355361</v>
      </c>
      <c r="DM91" s="60">
        <f>BN91/BZ91</f>
        <v>119.16666666666667</v>
      </c>
      <c r="DN91" s="61">
        <f>BL91/BQ91</f>
        <v>7.4279379157427938E-2</v>
      </c>
      <c r="DO91" s="61">
        <f>BR91/BZ91</f>
        <v>11.916666666666668</v>
      </c>
      <c r="DP91" s="59">
        <f>AY91/BZ91</f>
        <v>1053.0317268870035</v>
      </c>
      <c r="DQ91" s="60">
        <f>AY91/BQ91</f>
        <v>14.009291266789402</v>
      </c>
      <c r="DR91" s="60">
        <f>AY91/(((BR91/0.195)*(BT91/0.259))^0.5)</f>
        <v>25.172530051227341</v>
      </c>
      <c r="DS91" s="51">
        <f>(BS91/0.074)/(((BR91/0.195)*(BT91/0.259))^0.5)</f>
        <v>1.0391057561371708</v>
      </c>
      <c r="DT91" s="62">
        <f t="shared" si="213"/>
        <v>7.913658364281696E-4</v>
      </c>
      <c r="DU91" s="60">
        <f t="shared" si="214"/>
        <v>16.280046643784043</v>
      </c>
      <c r="DV91" s="60">
        <f>BK91/BM91</f>
        <v>12.19810085645539</v>
      </c>
      <c r="DW91" s="60">
        <f>1.74+LOG(BK91/BI91)-1.92*LOG(BJ91/BI91)</f>
        <v>0.13559136537670424</v>
      </c>
      <c r="DX91" s="60">
        <f t="shared" si="215"/>
        <v>32.382812007715344</v>
      </c>
      <c r="DY91" s="60">
        <f>CC91*100/BJ91</f>
        <v>3.1642380707059643</v>
      </c>
      <c r="DZ91" s="51">
        <f t="shared" si="216"/>
        <v>0.84139148411295528</v>
      </c>
      <c r="EA91" s="63">
        <f>BA91/BN91</f>
        <v>1.2587412587412588E-2</v>
      </c>
      <c r="EB91" s="58">
        <f t="shared" si="217"/>
        <v>9.7713505237039672E-2</v>
      </c>
      <c r="EC91" s="58">
        <f>(CB91/0.144)/(CH91*CI91)^(1/2)</f>
        <v>9.0636850730915597E-2</v>
      </c>
      <c r="ED91" s="51"/>
      <c r="EE91" s="51">
        <f t="shared" si="195"/>
        <v>41.86269907978474</v>
      </c>
      <c r="EF91" s="51">
        <f t="shared" si="196"/>
        <v>3.9930574506871599</v>
      </c>
      <c r="EG91" s="51">
        <f t="shared" si="197"/>
        <v>5.3269875230599615</v>
      </c>
      <c r="EH91" s="51">
        <f t="shared" si="198"/>
        <v>13.470292220196706</v>
      </c>
      <c r="EI91" s="51">
        <f t="shared" si="199"/>
        <v>0.19757884050693708</v>
      </c>
      <c r="EJ91" s="51">
        <f t="shared" si="200"/>
        <v>22.268554399676887</v>
      </c>
      <c r="EK91" s="51">
        <f t="shared" si="201"/>
        <v>10.632143130041809</v>
      </c>
      <c r="EL91" s="51">
        <f t="shared" si="202"/>
        <v>0.48030215371852114</v>
      </c>
      <c r="EM91" s="51">
        <f t="shared" si="203"/>
        <v>1.2771670905697039</v>
      </c>
      <c r="EN91" s="51">
        <f t="shared" si="204"/>
        <v>0.49121811175757846</v>
      </c>
      <c r="EO91" s="51">
        <f t="shared" si="205"/>
        <v>100.00000000000001</v>
      </c>
    </row>
    <row r="92" spans="1:146" s="48" customFormat="1">
      <c r="F92" s="50"/>
      <c r="AO92" s="19"/>
      <c r="AP92" s="19"/>
      <c r="AQ92" s="19"/>
      <c r="AV92" s="19"/>
      <c r="EA92" s="23"/>
      <c r="EB92" s="19"/>
      <c r="EC92" s="19"/>
    </row>
    <row r="93" spans="1:146" s="48" customFormat="1">
      <c r="C93" s="69"/>
      <c r="F93" s="70"/>
      <c r="AO93" s="19"/>
      <c r="AP93" s="19"/>
      <c r="AQ93" s="19"/>
      <c r="AV93" s="19"/>
      <c r="EA93" s="23"/>
      <c r="EB93" s="19"/>
      <c r="EC93" s="19"/>
      <c r="EN93" s="71"/>
      <c r="EO93" s="71"/>
      <c r="EP93" s="71"/>
    </row>
    <row r="94" spans="1:146" s="48" customFormat="1">
      <c r="F94" s="70"/>
      <c r="G94" s="72"/>
      <c r="H94" s="72"/>
      <c r="AO94" s="19"/>
      <c r="AP94" s="19"/>
      <c r="AQ94" s="19"/>
      <c r="AV94" s="19"/>
      <c r="EA94" s="23"/>
      <c r="EB94" s="19"/>
      <c r="EC94" s="19"/>
      <c r="EN94" s="71"/>
      <c r="EO94" s="71"/>
      <c r="EP94" s="71"/>
    </row>
    <row r="95" spans="1:146" s="48" customFormat="1">
      <c r="F95" s="70"/>
      <c r="G95" s="72"/>
      <c r="H95" s="72"/>
      <c r="AO95" s="19"/>
      <c r="AP95" s="19"/>
      <c r="AQ95" s="19"/>
      <c r="AV95" s="19"/>
      <c r="EA95" s="23"/>
      <c r="EB95" s="19"/>
      <c r="EC95" s="19"/>
    </row>
    <row r="96" spans="1:146" s="48" customFormat="1">
      <c r="G96" s="73"/>
      <c r="H96" s="73"/>
      <c r="AO96" s="19"/>
      <c r="AP96" s="19"/>
      <c r="AQ96" s="19"/>
      <c r="AV96" s="19"/>
      <c r="EN96" s="71"/>
      <c r="EO96" s="71"/>
      <c r="EP96" s="71"/>
    </row>
    <row r="97" spans="7:146" s="48" customFormat="1">
      <c r="G97" s="73"/>
      <c r="H97" s="73"/>
      <c r="AO97" s="19"/>
      <c r="AP97" s="19"/>
      <c r="AQ97" s="19"/>
      <c r="AV97" s="19"/>
      <c r="EN97" s="71"/>
      <c r="EP97" s="71"/>
    </row>
    <row r="98" spans="7:146">
      <c r="G98" s="73"/>
      <c r="H98" s="73"/>
      <c r="AO98" s="19"/>
      <c r="AP98" s="19"/>
      <c r="AQ98" s="19"/>
      <c r="AV98" s="19"/>
      <c r="EA98" s="48"/>
      <c r="EB98" s="48"/>
      <c r="EC98" s="48"/>
      <c r="EO98" s="36"/>
    </row>
    <row r="99" spans="7:146">
      <c r="AO99" s="19"/>
      <c r="AP99" s="19"/>
      <c r="AQ99" s="19"/>
      <c r="AV99" s="19"/>
      <c r="EA99" s="48"/>
      <c r="EB99" s="48"/>
      <c r="EC99" s="48"/>
      <c r="EN99" s="36"/>
      <c r="EO99" s="36"/>
      <c r="EP99" s="36"/>
    </row>
    <row r="100" spans="7:146">
      <c r="AO100" s="19"/>
      <c r="AP100" s="19"/>
      <c r="AQ100" s="19"/>
      <c r="AV100" s="19"/>
      <c r="EA100" s="48"/>
      <c r="EB100" s="48"/>
      <c r="EC100" s="48"/>
      <c r="EN100" s="36"/>
      <c r="EO100" s="36"/>
    </row>
    <row r="101" spans="7:146">
      <c r="AO101" s="19"/>
      <c r="AP101" s="19"/>
      <c r="AQ101" s="19"/>
      <c r="AV101" s="19"/>
      <c r="EN101" s="71"/>
      <c r="EO101" s="71"/>
      <c r="EP101" s="71"/>
    </row>
    <row r="102" spans="7:146">
      <c r="AO102" s="19"/>
      <c r="AP102" s="19"/>
      <c r="AQ102" s="19"/>
      <c r="AV102" s="19"/>
    </row>
    <row r="103" spans="7:146">
      <c r="AO103" s="19"/>
      <c r="AP103" s="19"/>
      <c r="AQ103" s="19"/>
      <c r="AV103" s="19"/>
    </row>
    <row r="104" spans="7:146">
      <c r="AO104" s="19"/>
      <c r="AP104" s="19"/>
      <c r="AQ104" s="19"/>
      <c r="AV104" s="19"/>
    </row>
    <row r="105" spans="7:146">
      <c r="AO105" s="19"/>
      <c r="AP105" s="19"/>
      <c r="AQ105" s="19"/>
      <c r="AV105" s="19"/>
    </row>
    <row r="106" spans="7:146">
      <c r="AO106" s="19"/>
      <c r="AP106" s="19"/>
      <c r="AQ106" s="19"/>
      <c r="AV106" s="19"/>
    </row>
    <row r="107" spans="7:146">
      <c r="AO107" s="19"/>
      <c r="AP107" s="19"/>
      <c r="AQ107" s="19"/>
      <c r="AV107" s="19"/>
    </row>
    <row r="108" spans="7:146">
      <c r="AO108" s="19"/>
      <c r="AP108" s="19"/>
      <c r="AQ108" s="19"/>
      <c r="AV108" s="19"/>
    </row>
    <row r="109" spans="7:146">
      <c r="AO109" s="19"/>
      <c r="AP109" s="19"/>
      <c r="AQ109" s="19"/>
      <c r="AV109" s="19"/>
    </row>
    <row r="110" spans="7:146">
      <c r="AO110" s="19"/>
      <c r="AP110" s="19"/>
      <c r="AQ110" s="19"/>
      <c r="AV110" s="19"/>
    </row>
    <row r="111" spans="7:146">
      <c r="AO111" s="19"/>
      <c r="AP111" s="19"/>
      <c r="AQ111" s="19"/>
      <c r="AV111" s="19"/>
    </row>
    <row r="112" spans="7:146">
      <c r="AO112" s="19"/>
      <c r="AP112" s="19"/>
      <c r="AQ112" s="19"/>
      <c r="AV112" s="19"/>
    </row>
    <row r="113" spans="41:48">
      <c r="AO113" s="19"/>
      <c r="AP113" s="19"/>
      <c r="AQ113" s="19"/>
      <c r="AV113" s="19"/>
    </row>
    <row r="114" spans="41:48">
      <c r="AO114" s="19"/>
      <c r="AP114" s="19"/>
      <c r="AQ114" s="19"/>
      <c r="AV114" s="19"/>
    </row>
    <row r="115" spans="41:48">
      <c r="AO115" s="19"/>
      <c r="AP115" s="19"/>
      <c r="AQ115" s="19"/>
      <c r="AV115" s="19"/>
    </row>
    <row r="116" spans="41:48">
      <c r="AO116" s="19"/>
      <c r="AP116" s="19"/>
      <c r="AQ116" s="19"/>
      <c r="AV116" s="19"/>
    </row>
    <row r="117" spans="41:48">
      <c r="AO117" s="19"/>
      <c r="AP117" s="19"/>
      <c r="AQ117" s="19"/>
      <c r="AV117" s="19"/>
    </row>
    <row r="118" spans="41:48">
      <c r="AO118" s="19"/>
      <c r="AP118" s="19"/>
      <c r="AQ118" s="19"/>
      <c r="AV118" s="19"/>
    </row>
    <row r="119" spans="41:48">
      <c r="AO119" s="19"/>
      <c r="AP119" s="19"/>
      <c r="AQ119" s="19"/>
      <c r="AV119" s="19"/>
    </row>
    <row r="120" spans="41:48">
      <c r="AO120" s="19"/>
      <c r="AP120" s="19"/>
      <c r="AQ120" s="19"/>
      <c r="AV120" s="19"/>
    </row>
    <row r="121" spans="41:48">
      <c r="AO121" s="19"/>
      <c r="AP121" s="19"/>
      <c r="AQ121" s="19"/>
      <c r="AV121" s="19"/>
    </row>
    <row r="122" spans="41:48">
      <c r="AO122" s="19"/>
      <c r="AP122" s="19"/>
      <c r="AQ122" s="19"/>
      <c r="AV122" s="19"/>
    </row>
    <row r="123" spans="41:48">
      <c r="AO123" s="19"/>
      <c r="AP123" s="19"/>
      <c r="AQ123" s="19"/>
      <c r="AV123" s="19"/>
    </row>
    <row r="124" spans="41:48">
      <c r="AO124" s="19"/>
      <c r="AP124" s="19"/>
      <c r="AQ124" s="19"/>
      <c r="AV124" s="19"/>
    </row>
    <row r="125" spans="41:48">
      <c r="AO125" s="19"/>
      <c r="AP125" s="19"/>
      <c r="AQ125" s="19"/>
      <c r="AV125" s="19"/>
    </row>
    <row r="126" spans="41:48">
      <c r="AO126" s="19"/>
      <c r="AP126" s="19"/>
      <c r="AQ126" s="19"/>
      <c r="AV126" s="19"/>
    </row>
    <row r="127" spans="41:48">
      <c r="AO127" s="19"/>
      <c r="AP127" s="19"/>
      <c r="AQ127" s="19"/>
      <c r="AV127" s="19"/>
    </row>
    <row r="128" spans="41:48">
      <c r="AO128" s="19"/>
      <c r="AP128" s="19"/>
      <c r="AQ128" s="19"/>
      <c r="AV128" s="19"/>
    </row>
    <row r="129" spans="41:48">
      <c r="AO129" s="19"/>
      <c r="AP129" s="19"/>
      <c r="AQ129" s="19"/>
      <c r="AV129" s="19"/>
    </row>
    <row r="130" spans="41:48">
      <c r="AO130" s="19"/>
      <c r="AP130" s="19"/>
      <c r="AQ130" s="19"/>
      <c r="AV130" s="19"/>
    </row>
    <row r="131" spans="41:48">
      <c r="AO131" s="19"/>
      <c r="AP131" s="19"/>
      <c r="AQ131" s="19"/>
      <c r="AV131" s="19"/>
    </row>
    <row r="132" spans="41:48">
      <c r="AO132" s="19"/>
      <c r="AP132" s="19"/>
      <c r="AQ132" s="19"/>
      <c r="AV132" s="19"/>
    </row>
    <row r="133" spans="41:48">
      <c r="AO133" s="19"/>
      <c r="AP133" s="19"/>
      <c r="AQ133" s="19"/>
      <c r="AV133" s="19"/>
    </row>
    <row r="134" spans="41:48">
      <c r="AO134" s="19"/>
      <c r="AP134" s="19"/>
      <c r="AQ134" s="19"/>
      <c r="AV134" s="19"/>
    </row>
    <row r="135" spans="41:48">
      <c r="AO135" s="19"/>
      <c r="AP135" s="19"/>
      <c r="AQ135" s="19"/>
      <c r="AV135" s="19"/>
    </row>
    <row r="136" spans="41:48">
      <c r="AO136" s="19"/>
      <c r="AP136" s="19"/>
      <c r="AQ136" s="19"/>
      <c r="AV136" s="19"/>
    </row>
    <row r="137" spans="41:48">
      <c r="AO137" s="19"/>
      <c r="AP137" s="19"/>
      <c r="AQ137" s="19"/>
      <c r="AV137" s="19"/>
    </row>
    <row r="138" spans="41:48">
      <c r="AO138" s="19"/>
      <c r="AP138" s="19"/>
      <c r="AQ138" s="19"/>
      <c r="AV138" s="19"/>
    </row>
    <row r="139" spans="41:48">
      <c r="AO139" s="19"/>
      <c r="AP139" s="19"/>
      <c r="AQ139" s="19"/>
      <c r="AV139" s="19"/>
    </row>
    <row r="140" spans="41:48">
      <c r="AO140" s="19"/>
      <c r="AP140" s="19"/>
      <c r="AQ140" s="19"/>
      <c r="AV140" s="19"/>
    </row>
    <row r="141" spans="41:48">
      <c r="AO141" s="19"/>
      <c r="AP141" s="19"/>
      <c r="AQ141" s="19"/>
      <c r="AV141" s="19"/>
    </row>
    <row r="142" spans="41:48">
      <c r="AO142" s="19"/>
      <c r="AP142" s="19"/>
      <c r="AQ142" s="19"/>
      <c r="AV142" s="19"/>
    </row>
    <row r="143" spans="41:48">
      <c r="AO143" s="19"/>
      <c r="AP143" s="19"/>
      <c r="AQ143" s="19"/>
      <c r="AV143" s="19"/>
    </row>
    <row r="144" spans="41:48">
      <c r="AO144" s="19"/>
      <c r="AP144" s="19"/>
      <c r="AQ144" s="19"/>
      <c r="AV144" s="19"/>
    </row>
    <row r="145" spans="41:48">
      <c r="AO145" s="19"/>
      <c r="AP145" s="19"/>
      <c r="AQ145" s="19"/>
      <c r="AV145" s="19"/>
    </row>
    <row r="146" spans="41:48">
      <c r="AO146" s="19"/>
      <c r="AP146" s="19"/>
      <c r="AQ146" s="19"/>
      <c r="AV146" s="19"/>
    </row>
    <row r="147" spans="41:48">
      <c r="AO147" s="19"/>
      <c r="AP147" s="19"/>
      <c r="AQ147" s="19"/>
      <c r="AV147" s="19"/>
    </row>
    <row r="148" spans="41:48">
      <c r="AO148" s="19"/>
      <c r="AP148" s="19"/>
      <c r="AQ148" s="19"/>
      <c r="AV148" s="19"/>
    </row>
    <row r="149" spans="41:48">
      <c r="AO149" s="19"/>
      <c r="AP149" s="19"/>
      <c r="AQ149" s="19"/>
      <c r="AV149" s="19"/>
    </row>
    <row r="150" spans="41:48">
      <c r="AO150" s="19"/>
      <c r="AP150" s="19"/>
      <c r="AQ150" s="19"/>
      <c r="AV150" s="19"/>
    </row>
    <row r="151" spans="41:48">
      <c r="AO151" s="19"/>
      <c r="AP151" s="19"/>
      <c r="AQ151" s="19"/>
      <c r="AV151" s="19"/>
    </row>
    <row r="152" spans="41:48">
      <c r="AO152" s="19"/>
      <c r="AP152" s="19"/>
      <c r="AQ152" s="19"/>
      <c r="AV152" s="19"/>
    </row>
    <row r="153" spans="41:48">
      <c r="AO153" s="19"/>
      <c r="AP153" s="19"/>
      <c r="AQ153" s="19"/>
      <c r="AV153" s="19"/>
    </row>
    <row r="154" spans="41:48">
      <c r="AO154" s="19"/>
      <c r="AP154" s="19"/>
      <c r="AQ154" s="19"/>
      <c r="AV154" s="19"/>
    </row>
    <row r="155" spans="41:48">
      <c r="AO155" s="19"/>
      <c r="AP155" s="19"/>
      <c r="AQ155" s="19"/>
      <c r="AV155" s="19"/>
    </row>
    <row r="156" spans="41:48">
      <c r="AO156" s="19"/>
      <c r="AP156" s="19"/>
      <c r="AQ156" s="19"/>
      <c r="AV156" s="19"/>
    </row>
    <row r="157" spans="41:48">
      <c r="AO157" s="19"/>
      <c r="AP157" s="19"/>
      <c r="AQ157" s="19"/>
      <c r="AV157" s="19"/>
    </row>
    <row r="158" spans="41:48">
      <c r="AO158" s="19"/>
      <c r="AP158" s="19"/>
      <c r="AQ158" s="19"/>
      <c r="AV158" s="19"/>
    </row>
    <row r="159" spans="41:48">
      <c r="AO159" s="19"/>
      <c r="AP159" s="19"/>
      <c r="AQ159" s="19"/>
      <c r="AV159" s="19"/>
    </row>
    <row r="160" spans="41:48">
      <c r="AO160" s="58"/>
      <c r="AP160" s="58"/>
      <c r="AQ160" s="58"/>
      <c r="AV160" s="58"/>
    </row>
    <row r="161" spans="41:48">
      <c r="AO161" s="58"/>
      <c r="AP161" s="58"/>
      <c r="AQ161" s="58"/>
      <c r="AV161" s="58"/>
    </row>
    <row r="162" spans="41:48">
      <c r="AO162" s="58"/>
      <c r="AP162" s="58"/>
      <c r="AQ162" s="58"/>
      <c r="AV162" s="58"/>
    </row>
    <row r="163" spans="41:48">
      <c r="AO163" s="58"/>
      <c r="AP163" s="58"/>
      <c r="AQ163" s="58"/>
      <c r="AV163" s="58"/>
    </row>
    <row r="164" spans="41:48">
      <c r="AO164" s="58"/>
      <c r="AP164" s="58"/>
      <c r="AQ164" s="58"/>
      <c r="AV164" s="58"/>
    </row>
    <row r="165" spans="41:48">
      <c r="AO165" s="58"/>
      <c r="AP165" s="58"/>
      <c r="AQ165" s="58"/>
      <c r="AV165" s="58"/>
    </row>
    <row r="166" spans="41:48">
      <c r="AO166" s="58"/>
      <c r="AP166" s="58"/>
      <c r="AQ166" s="58"/>
      <c r="AV166" s="58"/>
    </row>
  </sheetData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WEAR</vt:lpstr>
      <vt:lpstr>IAP</vt:lpstr>
      <vt:lpstr>APIP and GAP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Francesca Innocenzi</dc:creator>
  <cp:lastModifiedBy>Alexander Brauser</cp:lastModifiedBy>
  <dcterms:created xsi:type="dcterms:W3CDTF">2025-03-14T17:24:42Z</dcterms:created>
  <dcterms:modified xsi:type="dcterms:W3CDTF">2025-04-16T10:06:41Z</dcterms:modified>
</cp:coreProperties>
</file>